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x-em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yergroup-my.sharepoint.com/personal/bianca_assisbarbosamartins_bayer_com/Documents/Documents/HRAC Global/2026/"/>
    </mc:Choice>
  </mc:AlternateContent>
  <xr:revisionPtr revIDLastSave="34" documentId="8_{8A7C6C9D-0FAF-454D-BFF4-EBC58C1E18A1}" xr6:coauthVersionLast="47" xr6:coauthVersionMax="47" xr10:uidLastSave="{FB0E1FE9-962B-44B2-A784-9DF40C8E0F5C}"/>
  <bookViews>
    <workbookView xWindow="-110" yWindow="-110" windowWidth="19420" windowHeight="11500" xr2:uid="{04E0926F-B8D5-4162-92C3-46768B108E6A}"/>
  </bookViews>
  <sheets>
    <sheet name="HRAC_12-2025" sheetId="2" r:id="rId1"/>
  </sheets>
  <definedNames>
    <definedName name="_xlnm._FilterDatabase" localSheetId="0" hidden="1">'HRAC_12-2025'!$A$1:$H$1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michael.betz@basf.com</author>
  </authors>
  <commentList>
    <comment ref="A2" authorId="0" shapeId="0" xr:uid="{84E1F989-B78D-4903-88DF-67A8F4EE2386}">
      <text>
        <r>
          <rPr>
            <sz val="9"/>
            <color indexed="81"/>
            <rFont val="Segoe UI"/>
            <charset val="1"/>
          </rPr>
          <t>Insight iXlW00001C0000002R0080105531S00000002P01048LAocjBAQBF1NjaVRlZ2ljLmRhdGEuTW9sZWN1bGUBbwF/ARJTY2lUZWdpYy5Nb2xlY3VsZQAAAQFkAv5qAQAAAAIAAjgBEQAAAPz8APwAAgAAAAAAAPC/AAAAAAAAGAAAAPz8APwAAgAAAAAAAPC/Atqs+lxtxfQ/AphuEoPAyue/AAAAABgAAAD8/AD8AAIAAAAAAADwvwLarPpcbcX0PwIAkX77OvABwAAAAAAYAAAA/PwA/AACAAAAAAAA8L8C2qz6XG3FBEAAAAAAAAERAAAA/PwA/AACAAAAAAAA8L8AArTqc7UV+wfAAAAAABgAAAD8/AD8AAIAAAAAAADwvwLarPpcbcUEQAK06nO1FfsHwAAAAAAYAAAA/PwA/AACAAAAAAAA8L8CRwN4CyQoD0ACmG4Sg8DK578AAAAAGAAAAPz8APwAAgAAAAAAAPC/AkcDeAskKA9AAgCRfvs68AHAAAAAAAERAAAA/PwA/AACAAAAAAAA8L8C2qz6XG3FFEAC7Q2+MJkqiD8AAAAAIAAAAPz8APwAAgAAAAAAAPC/Atqs+lxtxRRAArTqc7UV+wfAAAAAABgAAAD8/AD8AAIAAAAAAADwvwIRWDm0yPYZQAIAkX77OvABwAAAAAAYAAAA/PwA/AACAAAAAAAA8L8CKxiV1AkoH0ACtOpztRX7B8AAAAAAIAAAAPz8APwAAgAAAAAAAPC/ArHh6ZWyLCJAAgCRfvs68AHAAAAAACAAAAD8/AD8AAIAAAAAAADwvwIrGJXUCSgfQAIj2/l+avwRwAAAAAA4AAQBZQQAAAAAAAAAAAQIAWUICAAAAAAAAAAEDAFlBAAAAAAAAAAACBABZQQAAAAAAAAAAAgUAWUEAAAAAAAAAAAMGAFlCAwAAAAAAAAAFBwBZQgMAAAAAAAAABggAWUEAAAAAAAAAAAcJAFlBAAAAAAAAAAAJCgBZQQAAAAAAAAAACgsAWUEAAAAAAAAAAAsMAFlCAAAAAAAAAAALDQBZQQAAAAAAAAAABgcAWUEAAAAAAAAAAAAAAAA</t>
        </r>
      </text>
    </comment>
    <comment ref="A3" authorId="0" shapeId="0" xr:uid="{3FF1AA75-169D-4837-B304-06C72F3E1518}">
      <text>
        <r>
          <rPr>
            <sz val="9"/>
            <color indexed="81"/>
            <rFont val="Segoe UI"/>
            <charset val="1"/>
          </rPr>
          <t>Insight iXlW00001C0000003R0080105531S00000004P00988LAocjBAQBF1NjaVRlZ2ljLmRhdGEuTW9sZWN1bGUBbwF/ARJTY2lUZWdpYy5Nb2xlY3VsZQAAAQFkAv5qAQAAAAIAAjQBEQAAAPz8APwAAgAAAAAAAPC/AAAAAAAAGAAAAPz8APwAAgAAAAAAAPC/AktZhjjWxfS/ArK/7J48LOi/AAAAABgAAAD8/AD8AAIAAAAAAADwvwJLWYY41sX0vwK30QDeAgkCwAAAAAAYAAAA/PwA/AACAAAAAAAA8L8CS1mGONbFBMAC7Q2+MJkqiL8AAAAAIAAAAPz8APwAAgAAAAAAAPC/AAJrK/aX3RMIwAAAAAAYAAAA/PwA/AACAAAAAAAA8L8CS1mGONbFBMACayv2l90TCMAAAAAAGAAAAPz8APwAAgAAAAAAAPC/Ailcj8L1KA/AArK/7J48LOi/AAAAABgAAAD8/AD8AAIAAAAAAADwvwJLWYY41sX0PwK30QDeAgkCwAAAAAAYAAAA/PwA/AACAAAAAAAA8L8CKVyPwvUoD8ACt9EA3gIJAsAAAAAAAREAAAD8/AD8AAIAAAAAAADwvwJnRGlv8MUUwALtDb4wmSqIvwAAAAAYAAAA/PwA/AACAAAAAAAA8L8CS1mGONbFBEACayv2l90TCMAAAAAAIAAAAPz8APwAAgAAAAAAAPC/Ailcj8L1KA9AArfRAN4CCQLAAAAAACAAAAD8/AD8AAIAAAAAAADwvwJLWYY41sUEQAKb5h2n6AgSwAAAAAA0AAQBZQQAAAAAAAAAAAQIAWUICAAAAAAAAAAEDAFlBAAAAAAAAAAACBABZQQAAAAAAAAAAAgUAWUEAAAAAAAAAAAMGAFlCAwAAAAAAAAAEBwBZQQAAAAAAAAAABQgAWUICAAAAAAAAAAYJAFlBAAAAAAAAAAAHCgBZQQAAAAAAAAAACgsAWUIAAAAAAAAAAAoMAFlBAAAAAAAAAAAGCABZQQAAAAAAAAAAAAAAAA=</t>
        </r>
      </text>
    </comment>
    <comment ref="A4" authorId="0" shapeId="0" xr:uid="{83CC9629-BB2B-4BDD-8072-FF2EAB8A3596}">
      <text>
        <r>
          <rPr>
            <sz val="9"/>
            <color indexed="81"/>
            <rFont val="Segoe UI"/>
            <charset val="1"/>
          </rPr>
          <t>Insight iXlW00001C0000004R0080105531S00000006P01108LAocjBAQBF1NjaVRlZ2ljLmRhdGEuTW9sZWN1bGUBbwF/ARJTY2lUZWdpYy5Nb2xlY3VsZQAAAQFkAv5qAQAAAAIAAjwBEQAAAPz8APwAAgAAAAAAAPC/AAAAAAAAGAAAAPz8APwAAgAAAAAAAPC/AutztRX7y/S/AsKGp1fKMui/AAAAABgAAAD8/AD8AAIAAAAAAADwvwLrc7UV+8v0vwI8vVKWIQ4CwAAAAAAYAAAA/PwA/AACAAAAAAAA8L8C63O1FfvLBMAAAAAAACAAAAD8/AD8AAIAAAAAAADwvwAC3+ALk6kCCMAAAAAAGAAAAPz8APwAAgAAAAAAAPC/AutztRX7ywTAAt/gC5OpAgjAAAAAABgAAAD8/AD8AAIAAAAAAADwvwLgLZCg+DEPwALChqdXyjLovwAAAAAYAAAA/PwA/AACAAAAAAAA8L8C63O1FfvL9D8CPL1SliEOAsAAAAAAGAAAAPz8APwAAgAAAAAAAPC/AuAtkKD4MQ/AAjy9UpYhDgLAAAAAAAERAAAA/PwA/AACAAAAAAAA8L8Cz4jS3uDLFMAAAAAAABgAAAD8/AD8AAIAAAAAAADwvwLrc7UV+8sEQALf4AuTqQIIwAAAAAAYAAAA/PwA/AACAAAAAAAA8L8C4C2QoPgxD0ACPL1SliEOAsAAAAAAGAAAAPz8APwAAgAAAAAAAPC/As+I0t7gyxRAAt/gC5OpAgjAAAAAACAAAAD8/AD8AAIAAAAAAADwvwLPiNLe4MsUQAI1XrpJDAISwAAAAAAgAAAA/PwA/AACAAAAAAAA8L8CyeU/pN/+GUACPL1SliEOAsAAAAAAPAAEAWUEAAAAAAAAAAAECAFlCAgAAAAAAAAABAwBZQQAAAAAAAAAAAgQAWUEAAAAAAAAAAAIFAFlBAAAAAAAAAAADBgBZQgMAAAAAAAAABAcAWUEAAAAAAAAAAAUIAFlCAgAAAAAAAAAGCQBZQQAAAAAAAAAABwoAWUEAAAAAAAAAAAoLAFlBAAAAAAAAAAALDABZQQAAAAAAAAAADA0AWUIAAAAAAAAAAAwOAFlBAAAAAAAAAAAGCABZQQAAAAAAAAAAAAAAAA=</t>
        </r>
      </text>
    </comment>
    <comment ref="A5" authorId="0" shapeId="0" xr:uid="{06C86B25-C45E-4C79-8BC1-D7F2F79D55DA}">
      <text>
        <r>
          <rPr>
            <sz val="9"/>
            <color indexed="81"/>
            <rFont val="Segoe UI"/>
            <charset val="1"/>
          </rPr>
          <t>Insight iXlW00001C0000005R0080105531S00000008P01324LAocjBAQBF1NjaVRlZ2ljLmRhdGEuTW9sZWN1bGUBbwF/ARJTY2lUZWdpYy5Nb2xlY3VsZQAAAQFkAv5qAQAAAAIAAgESAREAAAD8/AD8AAIAAAAAAADwvwAAAAAAABgAAAD8/AD8AAIAAAAAAADwvwKHp1fKMsT0vwILtaZ5xynovwAAAAAYAAAA/PwA/AACAAAAAAAA8L8CT9GRXP7DBMAAAAAAACAAAAD8/AD8AAIAAAAAAADwvwJP0ZFc/sMEwALwOEVHcvn3PwAAAAAcAAAA/PwA/AACAAAAAAAA8L8CEqW9wRcmD8ACC7Wmeccp6L8AAAAAGAAAAPz8APwAAgAAAAAAAPC/Ak/RkVz+wxTAAAAAAAAYAAAA/PwA/AACAAAAAAAA8L8CEqW9wRcmD8ACu0kMAisHAsAAAAAAGAAAAPz8APwAAgAAAAAAAPC/Ak/RkVz+wxTAAvA4RUdy+fc/AAAAABgAAAD8/AD8AAIAAAAAAADwvwIwuycPC/UZwAILtaZ5xynovwAAAAAgAAAA/PwA/AACAAAAAAAA8L8CT9GRXP7DBMACKA8Ltab5B8AAAAAAGAAAAPz8APwAAgAAAAAAAPC/AjC7Jw8L9RnAArtJDAIrBwJAAAAAABgAAAD8/AD8AAIAAAAAAADwvwISpb3BFyYPwAK7SQwCKwcCQAAAAAAYAAAA/PwA/AACAAAAAAAA8L8C9rnaiv0lH8AAAAAAABgAAAD8/AD8AAIAAAAAAADwvwIwuycPC/UZwAK7SQwCKwcCwAAAAAAYAAAA/PwA/AACAAAAAAAA8L8CT9GRXP7DBMAC0NVW7C/7EcAAAAAAGAAAAPz8APwAAgAAAAAAAPC/Ava52or9JR/AAvA4RUdy+fc/AAAAABgAAAD8/AD8AAIAAAAAAADwvwISpb3BFyYPwAJrvHSTGAQOQAAAAAAYAAAA/PwA/AACAAAAAAAA8L8Ch6dXyjLE9L8CcayL22gAFcAAAAAAARIABAFlBAAAAAAAAAAABAgBZQQAAAAAAAAAAAgMAWUIAAAAAAAAAAAIEAFlBAAAAAAAAAAAEBQBZQQAAAAAAAAAABAYAWUEAAAAAAAAAAAUHAFlCAwAAAAAAAAAFCABZQQAAAAAAAAAABgkAWUEAAAAAAAAAAAcKAFlBAAAAAAAAAAAHCwBZQQAAAAAAAAAACAwAWUICAAAAAAAAAAgNAFlBAAAAAAAAAAAJDgBZQQAAAAAAAAAACg8AWUICAAAAAAAAAAsARABZQQAAAAAAAAAADgBEQFlBAAAAAAAAAAAMDwBZQQAAAAAAAAAAAAAAAA=</t>
        </r>
      </text>
    </comment>
    <comment ref="A6" authorId="0" shapeId="0" xr:uid="{A799434E-1CFC-43E3-9391-E6FEDDAD949D}">
      <text>
        <r>
          <rPr>
            <sz val="9"/>
            <color indexed="81"/>
            <rFont val="Segoe UI"/>
            <charset val="1"/>
          </rPr>
          <t>Insight iXlW00001C0000006R0080105531S00000010P01784LAocjBAQBF1NjaVRlZ2ljLmRhdGEuTW9sZWN1bGUBbwF/ARJTY2lUZWdpYy5Nb2xlY3VsZQAAAQFkAv5qAQAAAAIAAgEYAREAAAD8/AD8AAIAAAAAAADwvwAAAAAAABgAAAD8/AD8AAIAAAAAAADwvwACHqfoSC7/9z8AAAAAGAAAAPz8APwAAgAAAAAAAPC/AmMQWDm0yPQ/Al7cRgN4CwJAAAAAABgAAAD8/AD8AAIAAAAAAADwvwJjEFg5tMj0vwJe3EYDeAsCQAAAAAAgAAAA/PwA/AACAAAAAAAA8L8CYxBYObTIBEACHqfoSC7/9z8AAAAAGAAAAPz8APwAAgAAAAAAAPC/AmMQWDm0yPQ/ArRZ9bnaCg5AAAAAABgAAAD8/AD8AAIAAAAAAADwvwJjEFg5tMj0vwK0WfW52goOQAAAAAAYAAAA/PwA/AACAAAAAAAA8L8ClBgEVg4tD0ACXtxGA3gLAkAAAAAAGAAAAPz8APwAAgAAAAAAAPC/AAI6kst/SP8RQAAAAAAYAAAA/PwA/AACAAAAAAAA8L8CYxBYObTIBMACOpLLf0j/EUAAAAAAGAAAAPz8APwAAgAAAAAAAPC/An/7OnDOyBRAAh6n6Egu//c/AAAAABgAAAD8/AD8AAIAAAAAAADwvwKUGARWDi0PQAK0WfW52goOQAAAAAAkAAAA/PwA/AACAAAAAAAA8L8ClBgEVg4tD8ACotY07zgFFUAAAAAAJAAAAPz8APwAAgAAAAAAAPC/AmMQWDm0yATAAgK8BRIU/xdAAAAAACQAAAD8/AD8AAIAAAAAAADwvwKUGARWDi0PwAK0WfW52goOQAAAAAAYAAAA/PwA/AACAAAAAAAA8L8Cl/+Qfvv6GUACXtxGA3gLAkAAAAAAGAAAAPz8APwAAgAAAAAAAPC/An/7OnDOyBRAAjqSy39I/xFAAAAAABgAAAD8/AD8AAIAAAAAAADwvwKX/5B++/oZQAK0WfW52goOQAAAAAAYAAAA/PwA/AACAAAAAAAA8L8CsAPnjCgtH0ACHqfoSC7/9z8AAAAAHAAEAPz8APwAAgAAAAAAAPC/ArAD54woLR9AAjqSy39I/xFAAAAAACAAAAD8/AD8AAIAAAAAAADwvwLkg57Nqi8iQAJe3EYDeAsCQAAAAAAgAAAA/PwA/AACAAAAAAAA8L8CsAPnjCgtH0AAAAAAACAAAAD8/AD8AAIAAAAAAADwvwKwA+eMKC0fQAICvAUSFP8XQAAAAAAgAPwA/PwA/AACAAAAAAAA8L8C5IOezaovIkACtFn1udoKDkAAAAAAARk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CAwAAAAAAAAAPAESAWUEAAAAAAAAAAABEQETAWUEAAAAAAAAAAABEgEUAWUIAAAAAAAAAAABEgEVAWUEAAAAAAAAAAABEwEWAWUIAAAAAAAAAAABEwEXAWUEAAAAAAAAAAAYIAFlBAAAAAAAAAAAARABEQFlBAAAAAAAAAAAAAAAAA==</t>
        </r>
      </text>
    </comment>
    <comment ref="A7" authorId="0" shapeId="0" xr:uid="{474830D9-33AA-4C5D-9884-9C021DB4D6F4}">
      <text>
        <r>
          <rPr>
            <sz val="9"/>
            <color indexed="81"/>
            <rFont val="Segoe UI"/>
            <charset val="1"/>
          </rPr>
          <t>Insight iXlW00001C0000007R0080105531S00000012P01356LAocjBAQBF1NjaVRlZ2ljLmRhdGEuTW9sZWN1bGUBbwF/ARJTY2lUZWdpYy5Nb2xlY3VsZQAAAQFkAv5qAQAAAAIAAgESAREAAAD8/AD8AAIAAAAAAADwvwAAAAAAABgAAAD8/AD8AAIAAAAAAADwvwACYeXQItv59z8AAAAAGAAAAPz8APwAAgAAAAAAAPC/AoenV8oyxPQ/AvMf0m9fBwJAAAAAABgAAAD8/AD8AAIAAAAAAADwvwKHp1fKMsT0vwLzH9JvXwcCQAAAAAAcAAAA/PwA/AACAAAAAAAA8L8Ch6dXyjLEBEACYeXQItv59z8AAAAAGAAAAPz8APwAAgAAAAAAAPC/AoenV8oyxPQ/AqOSOgFNBA5AAAAAACAAAAD8/AD8AAIAAAAAAADwvwKHp1fKMsQEwAJh5dAi2/n3PwAAAAAYAAAA/PwA/AACAAAAAAAA8L8Ch6dXyjLE9L8Co5I6AU0EDkAAAAAAHAAEAPz8APwAAgAAAAAAAPC/AoenV8oyxARAAg8LtaZ5BxJAAAAAABgAAAD8/AD8AAIAAAAAAADwvwACDwu1pnkHEkAAAAAAGAAAAPz8APwAAgAAAAAAAPC/Akt7gy9MJg/AAvMf0m9fBwJAAAAAACAAAAD8/AD8AAIAAAAAAADwvwKHp1fKMsQEQAJoRGlv8AUYQAAAAAAgAPwA/PwA/AACAAAAAAAA8L8CS3uDL0wmD0ACo5I6AU0EDkAAAAAAGAAAAPz8APwAAgAAAAAAAPC/AoenV8oyxBTAAmHl0CLb+fc/AAAAABgAAAD8/AD8AAIAAAAAAADwvwJLe4MvTCYPwAKjkjoBTQQOQAAAAAAYAAAA/PwA/AACAAAAAAAA8L8CaZHtfD/1GcAC8x/Sb18HAkAAAAAAGAAAAPz8APwAAgAAAAAAAPC/AoenV8oyxBTAAgisHFpk+xFAAAAAABgAAAD8/AD8AAIAAAAAAADwvwJpke18P/UZwAKjkjoBTQQOQAAAAAABEwAEAWUEAAAAAAAAAAAECAFlCAgAAAAAAAAABAwBZQQAAAAAAAAAAAgQAWUEAAAAAAAAAAAIFAFlBAAAAAAAAAAADBgBZQQAAAAAAAAAAAwcAWUICAAAAAAAAAAUIAFlBAAAAAAAAAAAFCQBZQgIAAAAAAAAABgoAWUEAAAAAAAAAAAgLAFlCAAAAAAAAAAAIDABZQQAAAAAAAAAACg0AWUIDAAAAAAAAAAoOAFlBAAAAAAAAAAANDwBZQQAAAAAAAAAADgBEAFlCAgAAAAAAAAAPAERAWUICAAAAAAAAAAcJAFlBAAAAAAAAAAAARABEQFlBAAAAAAAAAAAAAAAAA==</t>
        </r>
      </text>
    </comment>
    <comment ref="A8" authorId="0" shapeId="0" xr:uid="{11A35232-A9B8-4CEC-899F-7D2006A4810E}">
      <text>
        <r>
          <rPr>
            <sz val="9"/>
            <color indexed="81"/>
            <rFont val="Segoe UI"/>
            <charset val="1"/>
          </rPr>
          <t>Insight iXlW00001C0000008R0080105531S00000014P01356LAocjBAQBF1NjaVRlZ2ljLmRhdGEuTW9sZWN1bGUBbwF/ARJTY2lUZWdpYy5Nb2xlY3VsZQAAAQFkAv5qAQAAAAIAAgESAREAAAD8/AD8AAIAAAAAAADwvwAAAAAAABgAAAD8/AD8AAIAAAAAAADwvwK2FfvL7sn0vwIcfGEyVTDovwAAAAAYAAAA/PwA/AACAAAAAAAA8L8CfT81XrrJBMAC7Q2+MJkqiL8AAAAAIAAAAPz8APwAAgAAAAAAAPC/An0/NV66yQTAAlYwKqkT0Pc/AAAAABwAAAD8/AD8AAIAAAAAAADwvwJYyjLEsS4PwAIcfGEyVTDovwAAAAAYAAAA/PwA/AACAAAAAAAA8L8CmSoYldTJFMAC7Q2+MJkqiL8AAAAAGAAAAPz8APwAAgAAAAAAAPC/AljKMsSxLg/AAkA1XrpJDALAAAAAABgAAAD8/AD8AAIAAAAAAADwvwKZKhiV1MkUwAJWMCqpE9D3PwAAAAAYAAAA/PwA/AACAAAAAAAA8L8CB/AWSFD8GcACNs07TtGR6L8AAAAAIAAAAPz8APwAAgAAAAAAAPC/An0/NV66yQTAAjnWxW00AAjAAAAAABgAAAD8/AD8AAIAAAAAAADwvwIH8BZIUPwZwAIkufyH9NsBQAAAAAAYAAAA/PwA/AACAAAAAAAA8L8CWMoyxLEuD8ACJLn8h/TbAUAAAAAAGAAAAPz8APwAAgAAAAAAAPC/AljKMsSxLh/AAu0NvjCZKpi/AAAAABgAAAD8/AD8AAIAAAAAAADwvwIH8BZIUPwZwAJO845TdCQCwAAAAAAYAAAA/PwA/AACAAAAAAAA8L8CfT81XrrJBMACOdbFbTQAEsAAAAAAGAAAAPz8APwAAgAAAAAAAPC/AljKMsSxLh/AAlYwKqkT0Pc/AAAAABgAAAD8/AD8AAIAAAAAAADwvwJYyjLEsS4PwAIkufyH9NsNQAAAAAAYAAAA/PwA/AACAAAAAAAA8L8CWMoyxLEuH8ACjSjtDb4wCMAAAAAAARIABAFlBAAAAAAAAAAABAgBZQQAAAAAAAAAAAgMAWUIAAAAAAAAAAAIEAFlBAAAAAAAAAAAEBQBZQQAAAAAAAAAABAYAWUEAAAAAAAAAAAUHAFlCAwAAAAAAAAAFCABZQQAAAAAAAAAABgkAWUEAAAAAAAAAAAcKAFlBAAAAAAAAAAAHCwBZQQAAAAAAAAAACAwAWUICAAAAAAAAAAgNAFlBAAAAAAAAAAAJDgBZQQAAAAAAAAAACg8AWUICAAAAAAAAAAsARABZQQAAAAAAAAAADQBEQFlBAAAAAAAAAAAMDwBZQQAAAAAAAAAAAAAAAA=</t>
        </r>
      </text>
    </comment>
    <comment ref="A9" authorId="0" shapeId="0" xr:uid="{50FCA8EA-4153-44F0-8B9B-70A6E798C17B}">
      <text>
        <r>
          <rPr>
            <sz val="9"/>
            <color indexed="81"/>
            <rFont val="Segoe UI"/>
            <charset val="1"/>
          </rPr>
          <t>Insight iXlW00001C0000009R0080105531S00000016P00840LAocjBAQBF1NjaVRlZ2ljLmRhdGEuTW9sZWN1bGUBbwF/ARJTY2lUZWdpYy5Nb2xlY3VsZQAAAQFkAv5qAQAAAAIAAiwBEQAAAPz8APwAAgAAAAAAAPC/AAAAAAAAGAAAAPz8APwAAgAAAAAAAPC/As+I0t7gC/W/AgwkKH6Muee/AAAAABgAAAD8/AD8AAIAAAAAAADwvwIHX5hMFQwFwAL6fmq8dJOIPwAAAAAgAAAA/PwA/AACAAAAAAAA8L8CzV1LyAc9BcACk8t/SL99+D8AAAAAHAAAAPz8APwAAgAAAAAAAPC/Am+jAbwFkg/AAvYoXI/C9ea/AAAAABgAAAD8/AD8AAIAAAAAAADwvwLrc7UV+wsVwAK3Yn/ZPXmoPwAAAAAYAAAA/PwA/AACAAAAAAAA8L8CNKK0N/jCD8AC/Yf029eBAcAAAAAAGAAAAPz8APwAAgAAAAAAAPC/AmrecYqOJBXAAhueXinLEPk/AAAAABgAAAD8/AD8AAIAAAAAAADwvwJYW7G/7J4FwAK5/If021cHwAAAAAAYAAAA/PwA/AACAAAAAAAA8L8CXkvIBz1bGsACV+wvuyePAkAAAAAAGAAAAPz8APwAAgAAAAAAAPC/Ah1aZDvfzwXAAjy9UpYhjhHAAAAAACgABAFlBAAAAAAAAAAABAgBZQQAAAAAAAAAAAgMAWUIAAAAAAAAAAAIEAFlBAAAAAAAAAAAEBQBZQQAAAAAAAAAABAYAWUEAAAAAAAAAAAUHAFlBAAAAAAAAAAAGCABZQQAAAAAAAAAABwkAWUIAAAAAAAAAAAgKAFlCAAAAAAAAAAAAAAAAA==</t>
        </r>
      </text>
    </comment>
    <comment ref="A10" authorId="0" shapeId="0" xr:uid="{B9B6DB83-5031-443C-B225-38660F42D913}">
      <text>
        <r>
          <rPr>
            <sz val="9"/>
            <color indexed="81"/>
            <rFont val="Segoe UI"/>
            <charset val="1"/>
          </rPr>
          <t>Insight iXlW00001C0000010R0080105531S00000018P01720LAocjBAQBF1NjaVRlZ2ljLmRhdGEuTW9sZWN1bGUBbwF/ARJTY2lUZWdpYy5Nb2xlY3VsZQAAAQFkAv5qAQAAAAIAAgEXIAAAAPz8APwAAgAAAAAAAPC/AAAAAAAAGAAAAPz8APwAAgAAAAAAAPC/AoC3QILix/S/Aj55WKg1zec/AAAAABgAAAD8/AD8AAIAAAAAAADwvwKcM6K0N/j0vwI17zhFR/IBQAAAAAAYAAAA/PwA/AACAAAAAAAA8L8CgLdAguLHBMAC7Q2+MJkqiL8AAAAAGAAAAPz8APwAAgAAAAAAAPC/Ao51cRsN4ATAAr3jFB3J5QdAAAAAABgAAAD8/AD8AAIAAAAAAADwvwLtDb4wmSqIvwLLoUW28/0HQAAAAAAYAAAA/PwA/AACAAAAAAAA8L8CCD2bVZ8rD8ACBoGVQ4ts5z8AAAAAIAAAAPz8APwAAgAAAAAAAPC/ApwzorQ3+ATAAlHaG3xh8hFAAAAAABgMAAD8/AD8AAIAAAAAAADwvwIW+8vuyUMPwAInMQisHNoBQAAAAAAcAAAA/PwA/AACAAAAAAAA8L8C7Q2+MJkqmL8CWDm0yHb+EUAAAAAAGAAAAPz8APwAAgAAAAAAAPC/AmU730+Nl/Q/AkOtad5xCgJAAAAAABgAAAD8/AD8AAIAAAAAAADwvwL3Bl+YTJUVwALPiNLe4AvnPwAAAAAYAAAA/PwA/AACAAAAAAAA8L8CyJi7lpCPEsACGJXUCWgi4r8AAAAAGAAAAPz8APwAAgAAAAAAAPC/Amsr9pfd0xTAAq8l5IOezQdAAAAAACAAAAD8/AD8AAIAAAAAAADwvwJJv30dOGf0PwKHp1fKMgQVQAAAAAAYAAAA/PwA/AACAAAAAAAA8L8COiNKe4OvBEAC2V92Tx4WCEAAAAAAIAAAAPz8APwAAgAAAAAAAPC/Amsr9pfd0xTAAkp7gy9M5hFAAAAAACAAAAD8/AD8AAIAAAAAAADwvwJLWYY41gUawAIZc9cS8sEBQAAAAAAYAAAA/PwA/AACAAAAAAAA8L8CLUMc6+I29D8C+g/pt68DG0AAAAAAGAAAAPz8APwAAgAAAAAAAPC/Avp+arx0Ew9AAkOtad5xCgJAAAAAABgAAAD8/AD8AAIAAAAAAADwvwIrhxbZzjcfwAKvJeSDns0HQAAAAAAYAAAA/PwA/AACAAAAAAAA8L8CHqfoSC5/BEACRWlv8IUJHkAAAAAAGAAAAPz8APwAAgAAAAAAAPC/AhDpt68DZwRAAtxoAG+BBCJAAAAAAAEXAAQBZQgAAAAAAAAAAAQIAWUEAAAAAAAAAAAEDAFlBAAAAAAAAAAACBABZQgMAAAAAAAAAAgUAWUEAAAAAAAAAAAMGAFlBAAAAAAAAAAAEBwBZQQAAAAAAAAAABAgAWUEAAAAAAAAAAAUJAFlCAwAAAAAAAAAFCgBZQQAAAAAAAAAABgsAWUEAAAAAAAAAAAYMAFlBAAAAAAAAAAAIDQBZQQQAAAAAAAAACQ4AWUEAAAAAAAAAAAoPAFlBAAAAAAAAAAANAEQAWUIAAAAAAAAAAA0AREBZQQAAAAAAAAAADgBEgFlBAAAAAAAAAAAPAETAWUEAAAAAAAAAAABEQEUAWUEAAAAAAAAAAABEgEVAWUEAAAAAAAAAAABFQEWAWUIAAAAAAAAAAAYIAFlBAAAAAAAAAAAAAAAAA==</t>
        </r>
      </text>
    </comment>
    <comment ref="A11" authorId="0" shapeId="0" xr:uid="{4A77E42F-FA30-458D-8372-C9F7CC0DEC16}">
      <text>
        <r>
          <rPr>
            <sz val="9"/>
            <color indexed="81"/>
            <rFont val="Segoe UI"/>
            <charset val="1"/>
          </rPr>
          <t>Insight iXlW00001C0000011R0080105531S00000020P01116LAocjBAQBF1NjaVRlZ2ljLmRhdGEuTW9sZWN1bGUBbwF/ARJTY2lUZWdpYy5Nb2xlY3VsZQAAAQFkAv5qAQAAAAIAAjwBEAAAAPz8APwAAgAAAAAAAPC/AAAAAAAAGAAAAPz8APwAAgAAAAAAAPC/AAL6D+m3rwP4vwAAAAAYAAAA/PwA/AACAAAAAAAA8L8CzczMzMzM9L8Cpd++Dpwz6D8AAAAAHAAAAPz8APwAAgAAAAAAAPC/As3MzMzMzPQ/AuY/pN++DgLAAAAAABwAAAD8/AD8AAIAAAAAAADwvwLNzMzMzMz0vwLmP6Tfvg4CwAAAAAAYAAAA/PwA/AACAAAAAAAA8L8CzczMzMzM9D8C48eYu5YQDsAAAAAAGAAAAPz8APwAAgAAAAAAAPC/As3MzMzMzPS/AuPHmLuWEA7AAAAAABwAAAD8/AD8AAIAAAAAAADwvwAC3+ALk6kCEsAAAAAAHAAAAPz8APwAAgAAAAAAAPC/ApX2Bl+YzARAAt/gC5OpAhLAAAAAABwAAAD8/AD8AAIAAAAAAADwvwKV9gZfmMwEwALf4AuTqQISwAAAAAAYAAAA/PwA/AACAAAAAAAA8L8C+1xtxf4yD0AC48eYu5YQDsAAAAAAGAAAAPz8APwAAgAAAAAAAPC/AvtcbcX+Mg/AAuPHmLuWEA7AAAAAABgAAAD8/AD8AAIAAAAAAADwvwKx4emVsswUQALf4AuTqQISwAAAAAAYAAAA/PwA/AACAAAAAAAA8L8C+1xtxf4yD0AC5j+k374OAsAAAAAAGAAAAPz8APwAAgAAAAAAAPC/ArHh6ZWyzBTAAt/gC5OpAhLAAAAAADwABAFlBAAAAAAAAAAAAAgBZQQAAAAAAAAAAAQMAWUIDAAAAAAAAAAEEAFlBAAAAAAAAAAADBQBZQQAAAAAAAAAABAYAWUIDAAAAAAAAAAUHAFlCAgAAAAAAAAAFCABZQQAAAAAAAAAABgkAWUEAAAAAAAAAAAgKAFlBAAAAAAAAAAAJCwBZQQAAAAAAAAAACgwAWUEAAAAAAAAAAAoNAFlBAAAAAAAAAAALDgBZQQAAAAAAAAAABgcAWUEAAAAAAAAAAAAAAAA</t>
        </r>
      </text>
    </comment>
    <comment ref="A12" authorId="0" shapeId="0" xr:uid="{DFEB0EF0-0BF1-480C-8DA0-8EFFEA539764}">
      <text>
        <r>
          <rPr>
            <sz val="9"/>
            <color indexed="81"/>
            <rFont val="Segoe UI"/>
            <charset val="1"/>
          </rPr>
          <t>Insight iXlW00001C0000012R0080105531S00000022P01284LAocjBAQBF1NjaVRlZ2ljLmRhdGEuTW9sZWN1bGUBbwF/ARJTY2lUZWdpYy5Nb2xlY3VsZQAAAQFkAv5qAQAAAAIAAgERIAAAAPz8APwAAgAAAAAAAPC/AAAAAAAAGAAAAPz8APwAAgAAAAAAAPC/AtnO91PjpdO/AlqGONbFbfe/AAAAABwAAAD8/AD8AAIAAAAAAADwvwJB8WPMXUvmPwJHlPYGX5gEwAAAAAAcAAAA/PwA/AACAAAAAAAA8L8CMZkqGJXU+r8CHA3gLZCgAMAAAAAAHAAAAPz8APwAAgAAAAAAAPC/AtKRXP5DegFAAiFB8WPMXQPAAAAAABgAAAD8/AD8AAIAAAAAAADwvwJpke18PzWuvwJ4nKIjufwOwAAAAAAcAAAA/PwA/AACAAAAAAAA8L8CVp+rrdhf+L8CZMxdS8iHDMAAAAAAGAAAAPz8APwAAgAAAAAAAPC/AspUwaikzgfAApoIG55eKfW/AAAAABgAAAD8/AD8AAIAAAAAAADwvwLD9Shcj8LhPwJ+jLlrCfkUwAAAAAAgAAAA/PwA/AACAAAAAAAA8L8CylTBqKTOB8ACl5APejarxj8AAAAAHAAAAPz8APwAAgAAAAAAAPC/An6utmJ/GRHAAhwN4C2QoADAAAAAABgAAAD8/AD8AAIAAAAAAADwvwJ8YTJVMCrVvwJKDAIrh9YZwAAAAAAYAAAA/PwA/AACAAAAAAAA8L8C8tJNYhBYAEAC9UpZhjiWFcAAAAAAGAAAAPz8APwAAgAAAAAAAPC/AnrHKTqSSxbAApoIG55eKfW/AAAAABgAAAD8/AD8AAIAAAAAAADwvwKTy39Iv30bwAIcDeAtkKAAwAAAAAAYAAAA/PwA/AACAAAAAAAA8L8Ck8t/SL99G8AC++3rwDkj4r8AAAAAGAAAAPz8APwAAgAAAAAAAPC/AnrHKTqSSxbAApeQD3o2q8Y/AAAAAAERAAQBZQgAAAAAAAAAAAQIAWUEAAAAAAAAAAAEDAFlBAAAAAAAAAAACBABZQQAAAAAAAAAAAgUAWUEAAAAAAAAAAAMGAFlBAAAAAAAAAAADBwBZQQAAAAAAAAAABQgAWUEAAAAAAAAAAAcJAFlCAAAAAAAAAAAHCgBZQQAAAAAAAAAACAsAWUEAAAAAAAAAAAgMAFlBAAAAAAAAAAAKDQBZQQAAAAAAAAAADQ4AWUEAAAAAAAAAAA0PAFlBAAAAAAAAAAANAEQAWUEAAAAAAAAAAAUGAFlCAgAAAAAAAAAAAAAAA==</t>
        </r>
      </text>
    </comment>
    <comment ref="A13" authorId="0" shapeId="0" xr:uid="{7B6CEBD9-1E63-4141-9B10-769F3A63F098}">
      <text>
        <r>
          <rPr>
            <sz val="9"/>
            <color indexed="81"/>
            <rFont val="Segoe UI"/>
            <charset val="1"/>
          </rPr>
          <t>Insight iXlW00001C0000013R0080105531S00000024P01704LAocjBAQBF1NjaVRlZ2ljLmRhdGEuTW9sZWN1bGUBbwF/ARJTY2lUZWdpYy5Nb2xlY3VsZQAAAQFkAv5qAQAAAAIAAgEXARAAAAD8/AD8AAIAAAAAAADwvwAAAAAAACAAAAD8/AD8AAIAAAAAAADwvwKvJeSDns30vwIxmSoYldTnPwAAAAAgAAAA/PwA/AACAAAAAAAA8L8CaZHtfD816D8CryXkg57N9D8AAAAAHAAAAPz8APwAAgAAAAAAAPC/AjGZKhiV1Oe/Aq8l5IOezfS/AAAAABwAAAD8/AD8AAIAAAAAAADwvwKvJeSDns30PwIxmSoYldTnvwAAAAABEAAAAPz8APwAAgAAAAAAAPC/AvOwUGua9wHAAq8l5IOezfS/AAAAABgAAAD8/AD8AAIAAAAAAADwvwAC6Pup8dLNBMAAAAAAGAAAAPz8APwAAgAAAAAAAPC/Auj7qfHSzQRAAAAAAAAgAAAA/PwA/AACAAAAAAAA8L8CmbuWkA/6DcACryXkg57N9L8AAAAAIAAAAPz8APwAAgAAAAAAAPC/AvOwUGua9wHAAn4dOGdEaQbAAAAAABgAAAD8/AD8AAIAAAAAAADwvwLzsFBrmvcBwAJmGeJYF7fJPwAAAAAgAAAA/PwA/AACAAAAAAAA8L8C6Pup8dLNBEACTRWMSuoE+D8AAAAAHAAAAPz8APwAAgAAAAAAAPC/Ar8OnDOiNA9AAmmR7Xw/Nei/AAAAABgAAAD8/AD8AAIAAAAAAADwvwLo+6nx0s0UQALtDb4wmSqIvwAAAAAcAAAA/PwA/AACAAAAAAAA8L8C6Pup8dLNFEACMZkqGJXU9z8AAAAAHAAAAPz8APwAAgAAAAAAAPC/AlMFo5I6ARpAAmmR7Xw/Nei/AAAAABgAAAD8/AD8AAIAAAAAAADwvwJTBaOSOgEaQALl8h/Sb98BQAAAAAAYAAAA/PwA/AACAAAAAAAA8L8Cvw6cM6I0H0AC7Q2+MJkqiL8AAAAAIAAAAPz8APwAAgAAAAAAAPC/AlMFo5I6ARpAAlMnoImw4Q1AAAAAABgAAAD8/AD8AAIAAAAAAADwvwK/DpwzojQfQAKkcD0K16P3PwAAAAAgAAAA/PwA/AACAAAAAAAA8L8CpAG8BRI0IkACoImw4emV6L8AAAAAGAAAAPz8APwAAgAAAAAAAPC/Auj7qfHSzRRAAs9m1edq6xFAAAAAABgAAAD8/AD8AAIAAAAAAADwvwKkAbwFEjQiQAIPLbKd7ycCwAAAAAABFwAEAWUIAAAAAAAAAAAACAFlCAAAAAAAAAAAAAwBZQQAAAAAAAAAAAAQAWUEAAAAAAAAAAAMFAFlBAAAAAAAAAAADBgBZQQAAAAAAAAAABAcAWUEAAAAAAAAAAAUIAFlCAAAAAAAAAAAFCQBZQgAAAAAAAAAABQoAWUEAAAAAAAAAAAcLAFlCAAAAAAAAAAAHDABZQQAAAAAAAAAADA0AWUEAAAAAAAAAAA0OAFlCAwAAAAAAAAANDwBZQQAAAAAAAAAADgBEAFlBAAAAAAAAAAAPAERAWUIDAAAAAAAAAABEAESAWUEAAAAAAAAAAABEAETAWUICAAAAAAAAAABEQEUAWUEAAAAAAAAAAABEgEVAWUEAAAAAAAAAAABFAEWAWUEAAAAAAAAAAABEQETAWUEAAAAAAAAAAAAAAAA</t>
        </r>
      </text>
    </comment>
    <comment ref="A14" authorId="0" shapeId="0" xr:uid="{DE1CB497-9EB7-4E7D-935E-34A4AA18C927}">
      <text>
        <r>
          <rPr>
            <sz val="9"/>
            <color indexed="81"/>
            <rFont val="Segoe UI"/>
            <charset val="1"/>
          </rPr>
          <t>Insight iXlW00001C0000014R0080105531S00000026P01052LAocjBAQBF1NjaVRlZ2ljLmRhdGEuTW9sZWN1bGUBbwF/ARJTY2lUZWdpYy5Nb2xlY3VsZQAAAQFkAv5qAQAAAAIAAjgBEQAAAPz8APwAAgAAAAAAAPC/AAAAAAAAGAAAAPz8APwAAgAAAAAAAPC/AoC3QILix/S/Aj55WKg1zee/AAAAABgAAAD8/AD8AAIAAAAAAADwvwKAt0CC4scEwAAAAAAAGAAAAPz8APwAAgAAAAAAAPC/AoC3QILix/S/AjXvOEVH8gHAAAAAABwAAAD8/AD8AAIAAAAAAADwvwIIPZtVnysPwAI+eVioNc3nvwAAAAAcAAAA/PwA/AACAAAAAAAA8L8CgLdAguLHBMACy6FFtvP99z8AAAAAHAAAAPz8APwAAgAAAAAAAPC/AoC3QILixwTAAsuhRbbz/QfAAAAAABgAAAD8/AD8AAIAAAAAAADwvwACy6FFtvP9B8AAAAAAGAAAAPz8APwAAgAAAAAAAPC/Agg9m1WfKw/AAjXvOEVH8gHAAAAAACAAAAD8/AD8AAIAAAAAAADwvwKAt0CC4sf0PwI17zhFR/IBwAAAAAAgAAAA/PwA/AACAAAAAAAA8L8AAlg5tMh2/hHAAAAAABgAAAD8/AD8AAIAAAAAAADwvwJkzF1LyMcUwALLoUW28/0HwAAAAAAYAAAA/PwA/AACAAAAAAAA8L8C1zTvOEXHGsACy6FFtvP9B8AAAAAAGAAAAPz8APwAAgAAAAAAAPC/Aq8l5IOezRfAAsb+snvyMBHAAAAAADwABAFlBAAAAAAAAAAABAgBZQgMAAAAAAAAAAQMAWUEAAAAAAAAAAAIEAFlBAAAAAAAAAAACBQBZQQAAAAAAAAAAAwYAWUICAAAAAAAAAAMHAFlBAAAAAAAAAAAECABZQgMAAAAAAAAABwkAWUIAAAAAAAAAAAcKAFlBAAAAAAAAAAAICwBZQQAAAAAAAAAACwwAWUEAAAAAAAAAAAsNAFlBAAAAAAAAAAAGCABZQQAAAAAAAAAADA0AWUEAAAAAAAAAAAAAAAA</t>
        </r>
      </text>
    </comment>
    <comment ref="A15" authorId="0" shapeId="0" xr:uid="{E1CEE2E1-7DBC-4F8A-B945-9D8BF912387E}">
      <text>
        <r>
          <rPr>
            <sz val="9"/>
            <color indexed="81"/>
            <rFont val="Segoe UI"/>
            <charset val="1"/>
          </rPr>
          <t>Insight iXlW00001C0000015R0080105531S00000028P00896LAocjBAQBF1NjaVRlZ2ljLmRhdGEuTW9sZWN1bGUBbwF/ARJTY2lUZWdpYy5Nb2xlY3VsZQAAAQFkAv5qAQAAAAIAAjABEQAAAPz8APwAAgAAAAAAAPC/AAAAAAAAGAAAAPz8APwAAgAAAAAAAPC/AlUwKqkT0PS/AtejcD0K1+e/AAAAABgAAAD8/AD8AAIAAAAAAADwvwJVMCqpE9D0vwIoDwu1pvkBwAAAAAAYAAAA/PwA/AACAAAAAAAA8L8CjgbwFkjQBMAAAAAAABwAAAD8/AD8AAIAAAAAAADwvwKOBvAWSNAEwAIeOGdEae8HwAAAAAAYAAAA/PwA/AACAAAAAAAA8L8AAh44Z0Rp7wfAAAAAABwAAAD8/AD8AAIAAAAAAADwvwKOBvAWSNAEwAJkzF1LyAf4PwAAAAAYAAAA/PwA/AACAAAAAAAA8L8CuR6F61E4D8AC16NwPQrX578AAAAAGAAAAPz8APwAAgAAAAAAAPC/ArkehetROA/AAigPC7Wm+QHAAAAAACAAAAD8/AD8AAIAAAAAAADwvwJVMCqpE9D0PwIoDwu1pvkBwAAAAAAgAAAA/PwA/AACAAAAAAAA8L8AAigPC7Wm+RHAAAAAAAERAAAA/PwA/AACAAAAAAAA8L8CchsN4C3QFMACHjhnRGnvB8AAAAAAMAAEAWUEAAAAAAAAAAAECAFlCAwAAAAAAAAABAwBZQQAAAAAAAAAAAgQAWUEAAAAAAAAAAAIFAFlBAAAAAAAAAAADBgBZQQAAAAAAAAAAAwcAWUICAAAAAAAAAAQIAFlCAwAAAAAAAAAFCQBZQgAAAAAAAAAABQoAWUEAAAAAAAAAAAgLAFlBAAAAAAAAAAAHCABZQQAAAAAAAAAAAAAAAA=</t>
        </r>
      </text>
    </comment>
    <comment ref="A16" authorId="0" shapeId="0" xr:uid="{9B73E23B-2074-4B20-8472-F27448BCA2D3}">
      <text>
        <r>
          <rPr>
            <sz val="9"/>
            <color indexed="81"/>
            <rFont val="Segoe UI"/>
            <charset val="1"/>
          </rPr>
          <t>Insight iXlW00001C0000016R0080105531S00000030P00492LAocjBAQBF1NjaVRlZ2ljLmRhdGEuTW9sZWN1bGUBbwF/ARJTY2lUZWdpYy5Nb2xlY3VsZQAAAQFkAv5qAQAAAAIAAhgcAAAA/PwA/AACAAAAAAAA8L8AAAAAAAAcAAAA/PwA/AACAAAAAAAA8L8CnMQgsHJo3T8CVjAqqRPQ9r8AAAAAGAAAAPz8APwAAgAAAAAAAPC/ArN78rBQa/M/Atc07zhFR+w/AAAAABgAAAD8/AD8AAIAAAAAAADwvwKzne+nxkv/PwJWMCqpE9D2vwAAAAAcAAAA/PwA/AACAAAAAAAA8L8Ce6UsQxxrA0AAAAAAABwAAAD8/AD8AAIAAAAAAADwvwIPnDOitLcGQALMf0i/fR0FwAAAAAAYAAQBZQQAAAAAAAAAAAAIAWUICAAAAAAAAAAEDAFlBAAAAAAAAAAACBABZQQAAAAAAAAAAAwUAWUEAAAAAAAAAAAMEAFlCAgAAAAAAAAAAAAAAA==</t>
        </r>
      </text>
    </comment>
    <comment ref="A17" authorId="0" shapeId="0" xr:uid="{A3BB4256-CD88-408D-84CF-4E3BF6A3FCF2}">
      <text>
        <r>
          <rPr>
            <sz val="9"/>
            <color indexed="81"/>
            <rFont val="Segoe UI"/>
            <charset val="1"/>
          </rPr>
          <t>Insight iXlW00001C0000017R0080105531S00000032P01576LAocjBAQBF1NjaVRlZ2ljLmRhdGEuTW9sZWN1bGUBbwF/ARJTY2lUZWdpYy5Nb2xlY3VsZQAAAQFkAv5qAQAAAAIAAgEVAREAAAD8/AD8AAIAAAAAAADwvwAAAAAAABgAAAD8/AD8AAIAAAAAAADwvwJFaW/whcn0PwLkg57Nqs/nvwAAAAAYAAAA/PwA/AACAAAAAAAA8L8CfT81XrrJBEAC7Q2+MJkqiD8AAAAAGAAAAPz8APwAAgAAAAAAAPC/AkVpb/CFyfQ/AvmgZ7Pq8wHAAAAAABgAAAD8/AD8AAIAAAAAAADwvwIg9GxWfS4PQAKti9toAG/nvwAAAAAYAAAA/PwA/AACAAAAAAAA8L8CfT81XrrJBEAC8kHPZtXnB8AAAAAAGAAAAPz8APwAAgAAAAAAAPC/AiD0bFZ9Lg9AAuviNhrA2wHAAAAAABwAAAD8/AD8AAIAAAAAAADwvwJhVFInoMkUQALkg57Nqs8HwAAAAAAYAAAA/PwA/AACAAAAAAAA8L8CzhlR2hv8GUAC3SQGgZXDAcAAAAAAGAAAAPz8APwAAgAAAAAAAPC/AmFUUiegyRRAAg8tsp3v5xHAAAAAACAAAAD8/AD8AAIAAAAAAADwvwLOGVHaG/wZQAJ1kxgEVg7nvwAAAAAYAAAA/PwA/AACAAAAAAAA8L8CIPRsVn0uH0AC5IOezarPB8AAAAAAGAAAAPz8APwAAgAAAAAAAPC/AiD0bFZ9Lg9AApJc/kP67RTAAAAAABgAAAD8/AD8AAIAAAAAAADwvwLOGVHaG/wZQAKL/WX35OEUwAAAAAABEAAAAPz8APwAAgAAAAAAAPC/AjhnRGlvMCJAAt0kBoGVwwHAAAAAADwAAAD8/AD8AAIAAAAAAADwvwLvycNCrckkQALXxW00gLcHwAAAAAABEAAAAPz8APwAAgAAAAAAAPC/ArHh6ZWyTCNAAlmoNc07DhHAAAAAACAAAAD8/AD8AAIAAAAAAADwvwKx4emVskwmQAJoImx4eqX6vwAAAAAgAAAA/PwA/AACAAAAAAAA8L8CGLfRAN5iJ0AC0GbV52qrDcAAAAAAGAAAAPz8APwAAgAAAAAAAPC/ArHh6ZWyTClAAmgibHh6pfq/AAAAABgAAAD8/AD8AAIAAAAAAADwvwIYt9EA3mInQAKEns2qz9UUwAAAAAABFQAEAWUEAAAAAAAAAAAECAFlCAwAAAAAAAAABAwBZQQAAAAAAAAAAAgQAWUEAAAAAAAAAAAMFAFlCAgAAAAAAAAAEBgBZQgMAAAAAAAAABgcAWUEAAAAAAAAAAAcIAFlBAAAAAAAAAAAHCQBZQQAAAAAAAAAACAoAWUIAAAAAAAAAAAgLAFlBAAAAAAAAAAAJDABZQQAAAAAAAAAACQ0AWUEAAAAAAAAAAAsOAFlBAAAAAAAAAAAODwBZQQAAAAAAAAAADwBEAFlCAAAAAAAAAAAPAERAWUEAAAAAAAAAAA8ARIBZQQAAAAAAAAAAAERARMBZQQAAAAAAAAAAAESARQBZQQAAAAAAAAAABQYAWUEAAAAAAAAAAAAAAAA</t>
        </r>
      </text>
    </comment>
    <comment ref="A18" authorId="0" shapeId="0" xr:uid="{ED44D577-B066-4914-B242-1B79D7822A67}">
      <text>
        <r>
          <rPr>
            <sz val="9"/>
            <color indexed="81"/>
            <rFont val="Segoe UI"/>
            <charset val="1"/>
          </rPr>
          <t>Insight iXlW00001C0000018R0080105531S00000034P01116LAocjBAQBF1NjaVRlZ2ljLmRhdGEuTW9sZWN1bGUBbwF/ARJTY2lUZWdpYy5Nb2xlY3VsZQAAAQFkAv5qAQAAAAIAAjwBEAAAAPz8APwAAgAAAAAAAPC/AAAAAAAAIAAAAPz8APwAAgAAAAAAAPC/AiDSb18HzvQ/AjGZKhiV1Oc/AAAAACAAAAD8/AD8AAIAAAAAAADwvwIxmSoYldTnvwIg0m9fB870PwAAAAAcAAAA/PwA/AACAAAAAAAA8L8CMZkqGJXU5z8CINJvXwfO9L8AAAAAGAAAAPz8APwAAgAAAAAAAPC/AiDSb18HzvS/AjGZKhiV1Oe/AAAAABgAAAD8/AD8AAIAAAAAAADwvwIrhxbZzvcBQAIg0m9fB870vwAAAAAYAAAA/PwA/AACAAAAAAAA8L8CINJvXwfOBMAAAAAAABgAAAD8/AD8AAIAAAAAAADwvwIg0m9fB870vwIrhxbZzvcBwAAAAAAgAAAA/PwA/AACAAAAAAAA8L8CeC0hH/TsB0AAAAAAACAAAAD8/AD8AAIAAAAAAADwvwKF61G4HgUIQAIg0m9fB84EwAAAAAAYAAAA/PwA/AACAAAAAAAA8L8CMLsnDws1D8ACMZkqGJXU578AAAAAGAAAAPz8APwAAgAAAAAAAPC/AiDSb18HzgTAAngtIR/07AfAAAAAABgAAAD8/AD8AAIAAAAAAADwvwIy5q4l5AMSQAIg0m9fB84EwAAAAAAYAAAA/PwA/AACAAAAAAAA8L8CMLsnDws1D8ACK4cW2c73AcAAAAAAHAAAAPz8APwAAgAAAAAAAPC/AiDSb18HzhTAAoXrUbgeBQjAAAAAADwABAFlCAAAAAAAAAAAAAgBZQgAAAAAAAAAAAAMAWUEAAAAAAAAAAAAEAFlBAAAAAAAAAAADBQBZQQAAAAAAAAAABAYAWUIDAAAAAAAAAAQHAFlBAAAAAAAAAAAFCABZQgAAAAAAAAAABQkAWUEAAAAAAAAAAAYKAFlBAAAAAAAAAAAHCwBZQgIAAAAAAAAACQwAWUEAAAAAAAAAAAoNAFlCAwAAAAAAAAANDgBZQQAAAAAAAAAACw0AWUEAAAAAAAAAAAAAAAA</t>
        </r>
      </text>
    </comment>
    <comment ref="A19" authorId="0" shapeId="0" xr:uid="{EDAB8FCB-2461-4C2A-832E-7DC93E871CC2}">
      <text>
        <r>
          <rPr>
            <sz val="9"/>
            <color indexed="81"/>
            <rFont val="Segoe UI"/>
            <charset val="1"/>
          </rPr>
          <t>Insight iXlW00001C0000019R0080105531S00000036P01136LAocjBAQBF1NjaVRlZ2ljLmRhdGEuTW9sZWN1bGUBbwF/ARJTY2lUZWdpYy5Nb2xlY3VsZQAAAQFkAv5qAQAAAAIAAjwgAAAA/PwA/AACAAAAAAAA8L8AAAAAAAAYAAAA/PwA/AACAAAAAAAA8L8CPZtVn6utmL8CMLsnDwu1978AAAAAGAAAAPz8APwAAgAAAAAAAPC/AqXfvg6cM/W/AnnpJjEIrOg/AAAAABwAAAD8/AD8AAIAAAAAAADwvwLPiNLe4Av0PwLA7J48LNQBwAAAAAAcAAAA/PwA/AACAAAAAAAA8L8CETY8vVKW9b8CwOyePCzUAcAAAAAAGAAAAPz8APwAAgAAAAAAAPC/AmIyVTAqqfM/ApGg+DHmrg3AAAAAABgAAAD8/AD8AAIAAAAAAADwvwJ+jLlrCfn1vwKRoPgx5q4NwAAAAAAcAAAA/PwA/AACAAAAAAAA8L8CPZtVn6utuL8CgLdAguLHEcAAAAAAHAAAAPz8APwAAgAAAAAAAPC/ApayDHGsCwRAAoC3QILixxHAAAAAABwAAAD8/AD8AAIAAAAAAADwvwJKDAIrh5YFwAKAt0CC4scRwAAAAAAYAAAA/PwA/AACAAAAAAAA8L8CNKK0N/hCDkAC24r9ZfdkDcAAAAAAGAAAAPz8APwAAgAAAAAAAPC/Ag6+MJkqGBDAAtuK/WX3ZA3AAAAAABgAAAD8/AD8AAIAAAAAAADwvwLNXUvIBz0UQAKmLEMc66IRwAAAAAAYAAAA/PwA/AACAAAAAAAA8L8C/vZ14JwRDkACnoAmwoYnAcAAAAAAGAAAAPz8APwAAgAAAAAAAPC/AhRhw9MrZRXAAqYsQxzrohHAAAAAADwABAFlBAAAAAAAAAAAAAgBZQQAAAAAAAAAAAQMAWUIDAAAAAAAAAAEEAFlBAAAAAAAAAAADBQBZQQAAAAAAAAAABAYAWUIDAAAAAAAAAAUHAFlCAgAAAAAAAAAFCABZQQAAAAAAAAAABgkAWUEAAAAAAAAAAAgKAFlBAAAAAAAAAAAJCwBZQQAAAAAAAAAACgwAWUEAAAAAAAAAAAoNAFlBAAAAAAAAAAALDgBZQQAAAAAAAAAABgcAWUEAAAAAAAAAAAAAAAA</t>
        </r>
      </text>
    </comment>
    <comment ref="A20" authorId="0" shapeId="0" xr:uid="{4B53CCC5-71A2-4944-B7D6-3482CD498B9D}">
      <text>
        <r>
          <rPr>
            <sz val="9"/>
            <color indexed="81"/>
            <rFont val="Segoe UI"/>
            <charset val="1"/>
          </rPr>
          <t>Insight iXlW00001C0000020R0080105531S00000038P01048LAocjBAQBF1NjaVRlZ2ljLmRhdGEuTW9sZWN1bGUBbwF/ARJTY2lUZWdpYy5Nb2xlY3VsZQAAAQFkAv5qAQAAAAIAAjgBEQAAAPz8APwAAgAAAAAAAPC/AAAAAAAAGAAAAPz8APwAAgAAAAAAAPC/AAJTBaOSOgH4vwAAAAAcAAAA/PwA/AACAAAAAAAA8L8CmG4Sg8DK9D8CFNBE2PD0AcAAAAAAHAAAAPz8APwAAgAAAAAAAPC/AphuEoPAyvS/AhTQRNjw9AHAAAAAABgAAAD8/AD8AAIAAAAAAADwvwKYbhKDwMr0PwK+UpYhjvUNwAAAAAAYAAAA/PwA/AACAAAAAAAA8L8CmG4Sg8DK9L8CvlKWIY71DcAAAAAAHAAAAPz8APwAAgAAAAAAAPC/AAL/Q/rt6wASwAAAAAAcAAAA/PwA/AACAAAAAAAA8L8CmG4Sg8DKBEAC+ORhodb0EcAAAAAAHAAAAPz8APwAAgAAAAAAAPC/AphuEoPAygTAAv9D+u3rABLAAAAAABgAAAD8/AD8AAIAAAAAAADwvwKrz9VW7C8PQAK+UpYhjvUNwAAAAAAYAAAA/PwA/AACAAAAAAAA8L8Cq8/VVuwvD8ACzBDHurgNDsAAAAAAGAAAAPz8APwAAgAAAAAAAPC/AnyDL0ymyhRAAvjkYaHW9BHAAAAAABgAAAD8/AD8AAIAAAAAAADwvwKrz9VW7C8PQAIU0ETY8PQBwAAAAAAYAAAA/PwA/AACAAAAAAAA8L8CfIMvTKbKFMACBqOSOgENEsAAAAAAOAAEAWUEAAAAAAAAAAAECAFlCAwAAAAAAAAABAwBZQQAAAAAAAAAAAgQAWUEAAAAAAAAAAAMFAFlCAwAAAAAAAAAEBgBZQgIAAAAAAAAABAcAWUEAAAAAAAAAAAUIAFlBAAAAAAAAAAAHCQBZQQAAAAAAAAAACAoAWUEAAAAAAAAAAAkLAFlBAAAAAAAAAAAJDABZQQAAAAAAAAAACg0AWUEAAAAAAAAAAAUGAFlBAAAAAAAAAAAAAAAAA==</t>
        </r>
      </text>
    </comment>
    <comment ref="A21" authorId="0" shapeId="0" xr:uid="{43A1B0AC-88D0-454E-989F-E34E80515DA6}">
      <text>
        <r>
          <rPr>
            <sz val="9"/>
            <color indexed="81"/>
            <rFont val="Segoe UI"/>
            <charset val="1"/>
          </rPr>
          <t>Insight iXlW00001C0000021R0080105531S00000040P01668LAocjBAQBF1NjaVRlZ2ljLmRhdGEuTW9sZWN1bGUBbwF/ARJTY2lUZWdpYy5Nb2xlY3VsZQAAAQFkAv5qAQAAAAIAAgEWAREAAAD8/AD8AAIAAAAAAADwvwAAAAAAABgAAAD8/AD8AAIAAAAAAADwvwKvJeSDns30vwJpke18PzXovwAAAAAYAAAA/PwA/AACAAAAAAAA8L8CryXkg57N9L8CAW+BBMUPAsAAAAAAGAAAAPz8APwAAgAAAAAAAPC/Aq8l5IOezQTAAu0NvjCZKoi/AAAAACAAAAD8/AD8AAIAAAAAAADwvwACFD/G3LUECMAAAAAAGAAAAPz8APwAAgAAAAAAAPC/Aq8l5IOezQTAAhQ/xty1BAjAAAAAABgAAAD8/AD8AAIAAAAAAADwvwK/DpwzojQPwAJpke18PzXovwAAAAAYAAAA/PwA/AACAAAAAAAA8L8AAt0kBoGVAxLAAAAAABgAAAD8/AD8AAIAAAAAAADwvwK/DpwzojQPwAIBb4EExQ8CwAAAAAABEQAAAPz8APwAAgAAAAAAAPC/AssQx7q4zRTAAu0NvjCZKoi/AAAAABgAAAD8/AD8AAIAAAAAAADwvwKvJeSDns30PwIL16NwPQoVwAAAAAAcAAAA/PwA/AACAAAAAAAA8L8CyxDHurjNFMACFD/G3LUECMAAAAAAGAAAAPz8APwAAgAAAAAAAPC/Aq8l5IOezQRAAhQ/xty1BBjAAAAAABwAAAD8/AD8AAIAAAAAAADwvwJ9PzVeukkawAILRiV1AhoDwAAAAAAYAAAA/PwA/AACAAAAAAAA8L8CXrpJDAJrFcAC1sVtNID3EcAAAAAAGAAAAPz8APwAAgAAAAAAAPC/Aq5p3nGKTh7AAlr1udqK/QvAAAAAACAAAAD8/AD8AAIAAAAAAADwvwK3Yn/ZPfkQwAIH8BZIUPwVwAAAAAAcAAAA/PwA/AACAAAAAAAA8L8CgbdAguJHG8ACGQRWDi0yE8AAAAAAGAAAAPz8APwAAgAAAAAAAPC/AoC3QILiJyLAAlr1udqK/QvAAAAAABgAAAD8/AD8AAIAAAAAAADwvwKnCkYldUIewAKFDU+vlGUYwAAAAAAYAAAA/PwA/AACAAAAAAAA8L8CFGHD0yulI8ACGQRWDi0yE8AAAAAAGAAAAPz8APwAAgAAAAAAAPC/Av2H9NvXISLAAoUNT6+UZRjAAAAAAAEYAAQBZQQAAAAAAAAAAAQIAWUICAAAAAAAAAAEDAFlBAAAAAAAAAAACBABZQQAAAAAAAAAAAgUAWUEAAAAAAAAAAAMGAFlCAwAAAAAAAAAEBwBZQQAAAAAAAAAABQgAWUIDAAAAAAAAAAYJAFlBAAAAAAAAAAAHCgBZQQAAAAAAAAAACAsAWUEAAAAAAAAAAAoMAFlDAAAAAAAAAAALDQBZQQAAAAAAAAAACw4AWUEAAAAAAAAAAA0PAFlCAwAAAAAAAAAOAEQAWUIAAAAAAAAAAA4AREBZQQAAAAAAAAAADwBEgFlBAAAAAAAAAAAAREBEwFlBAAAAAAAAAAAARIBFAFlBAAAAAAAAAAAARMBFQFlBAAAAAAAAAAAGCABZQQAAAAAAAAAADwBEQFlBAAAAAAAAAAAARQBFQFlBAAAAAAAAAAAAAAAAA==</t>
        </r>
      </text>
    </comment>
    <comment ref="A22" authorId="0" shapeId="0" xr:uid="{3C5E020B-C632-49EA-AC4B-7F5CA095D521}">
      <text>
        <r>
          <rPr>
            <sz val="9"/>
            <color indexed="81"/>
            <rFont val="Segoe UI"/>
            <charset val="1"/>
          </rPr>
          <t>Insight iXlW00001C0000022R0080105531S00000042P02180LAocjBAQBF1NjaVRlZ2ljLmRhdGEuTW9sZWN1bGUBbwF/ARJTY2lUZWdpYy5Nb2xlY3VsZQAAAQFkAv5qAQAAAAIAAgEdARAAAAD8/AD8AAIAAAAAAADwvwAAAAAAACAAAAD8/AD8AAIAAAAAAADwvwL1SlmGONbnPwJz1xLyQc/0PwAAAAAgAAAA/PwA/AACAAAAAAAA8L8Cc9cS8kHP9L8C9UpZhjjW5z8AAAAAHAAAAPz8APwAAgAAAAAAAPC/AnPXEvJBz/Q/AvVKWYY41ue/AAAAABgAAAD8/AD8AAIAAAAAAADwvwL1SlmGONbnvwJz1xLyQc/0vwAAAAAYAAAA/PwA/AACAAAAAAAA8L8Cc9cS8kHPBEAAAAAAABwAAAD8/AD8AAIAAAAAAADwvwIs1JrmHafAvwL/If32dWAFwAAAAAAYAAAA/PwA/AACAAAAAAAA8L8COPjCZKrgAcACMSqpE9BE978AAAAAIAAAAPz8APwAAgAAAAAAAPC/AnPXEvJBzwRAAhHHuriNBvg/AAAAABwAAAD8/AD8AAIAAAAAAADwvwItQxzr4jYPQAL1SlmGONbnvwAAAAAcAAAA/PwA/AACAAAAAAAA8L8Cd76fGi/d878CCvmgZ7NqDcAAAAAAGAAAAPz8APwAAgAAAAAAAPC/Ajj4wmSqYPU/Ar10kxgE1gfAAAAAABgAAAD8/AD8AAIAAAAAAADwvwJCz2bV5+oJwAL9GHPXEvLVvwAAAAAYAAAA/PwA/AACAAAAAAAA8L8C9UpZhjhWBMACP+jZrPpcB8AAAAAAGAAAAPz8APwAAgAAAAAAAPC/AnPXEvJBzxRAAAAAAAAcAAAA/PwA/AACAAAAAAAA8L8CQs9m1efqEsAC8mPMXUvI378AAAAAHAAAAPz8APwAAgAAAAAAAPC/Ak2mCkYldQfAAg3gLZCg+PE/AAAAABwAAAD8/AD8AAIAAAAAAADwvwJz1xLyQc8UQAIRx7q4jQb4PwAAAAAcAAAA/PwA/AACAAAAAAAA8L8CUI2XbhIDGkACLUMc6+I26L8AAAAAHAAAAPz8APwAAgAAAAAAAPC/AhwN4C2QYBXAAh6n6Egu/+s/AAAAABwAAAD8/AD8AAIAAAAAAADwvwIDCYofY+4QwAKIhVrTvOP9PwAAAAAYAAAA/PwA/AACAAAAAAAA8L8CUI2XbhIDGkACRrbz/dT4AUAAAAAAGAAAAPz8APwAAgAAAAAAAPC/Ai1DHOviNh9AAu0NvjCZKoi/AAAAABgAAAD8/AD8AAIAAAAAAADwvwKyne+nxosRwAI/6Nms+twKQAAAAAAgAAAA/PwA/AACAAAAAAAA8L8CUI2XbhIDGkACzhlR2hv8DUAAAAAAGAAAAPz8APwAAgAAAAAAAPC/Ai1DHOviNh9AAhHHuriNBvg/AAAAACAAAAD8/AD8AAIAAAAAAADwvwKFfNCzWTUiQAJlO99PjZfovwAAAAAYAAAA/PwA/AACAAAAAAAA8L8Cc9cS8kHPFEACRrbz/dT4EUAAAAAAGAAAAPz8APwAAgAAAAAAAPC/AoV80LNZNSJAAmIyVTAqKQLAAAAAAAEfAAQBZQgAAAAAAAAAAAAIAWUIAAAAAAAAAAAADAFlBAAAAAAAAAAAABABZQQAAAAAAAAAAAwUAWUEAAAAAAAAAAAQGAFlBAAAAAAAAAAAEBwBZQgIAAAAAAAAABQgAWUIAAAAAAAAAAAUJAFlBAAAAAAAAAAAGCgBZQQAAAAAAAAAABgsAWUEAAAAAAAAAAAcMAFlBAAAAAAAAAAAHDQBZQQAAAAAAAAAACQ4AWUEAAAAAAAAAAAwPAFlBAAAAAAAAAAAMAEQAWUIDAAAAAAAAAA4AREBZQgMAAAAAAAAADgBEgFlBAAAAAAAAAAAPAETAWUICAAAAAAAAAABEAEUAWUEAAAAAAAAAAABEQEVAWUEAAAAAAAAAAABEgEWAWUIDAAAAAAAAAABFAEXAWUEAAAAAAAAAAABFQEYAWUEAAAAAAAAAAABFQEZAWUICAAAAAAAAAABFgEaAWUEAAAAAAAAAAABGAEbAWUEAAAAAAAAAAABGgEcAWUEAAAAAAAAAAAoNAFlCAgAAAAAAAAAARMBFAFlBAAAAAAAAAAAARYBGQFlBAAAAAAAAAAAAAAAAA==</t>
        </r>
      </text>
    </comment>
    <comment ref="A23" authorId="0" shapeId="0" xr:uid="{A9C72FBE-E943-4A63-A47B-46524823E65C}">
      <text>
        <r>
          <rPr>
            <sz val="9"/>
            <color indexed="81"/>
            <rFont val="Segoe UI"/>
            <charset val="1"/>
          </rPr>
          <t>Insight iXlW00001C0000023R0080105531S00000044P01140LAocjBAQBF1NjaVRlZ2ljLmRhdGEuTW9sZWN1bGUBbwF/ARJTY2lUZWdpYy5Nb2xlY3VsZQAAAQFkAv5qAQAAAAIAAjwBEAAAAPz8APwAAgAAAAAAAPC/AAAAAAAAGAAAAPz8APwAAgAAAAAAAPC/AnKKjuTyH6K/AvSOU3Qkl/e/AAAAABgAAAD8/AD8AAIAAAAAAADwvwIy5q4l5IP1vwLu68A5I0rpPwAAAAAcAAAA/PwA/AACAAAAAAAA8L8COIlBYOXQ8z8CWmQ730+NAcAAAAAAHAAAAPz8APwAAgAAAAAAAPC/AoZa07zjFPa/AlpkO99PjQHAAAAAABgAAAD8/AD8AAIAAAAAAADwvwLkFB3J5T/zPwLUK2UZ4lgNwAAAAAAYAAAA/PwA/AACAAAAAAAA8L8C2c73U+Ol9r8C1CtlGeJYDcAAAAAAHAAAAPz8APwAAgAAAAAAAPC/AuomMQisHMK/AjcawFsggRHAAAAAABwAAAD8/AD8AAIAAAAAAADwvwI4iUFg5dADQAI3GsBbIIERwAAAAAAcAAAA/PwA/AACAAAAAAAA8L8CTYQNT68UBsACNxrAWyCBEcAAAAAAHAAEAPz8APwAAgAAAAAAAPC/AjZeukkMAg5AAnP5D+m3rwzAAAAAABgAAAD8/AD8AAIAAAAAAADwvwKze/KwUGsQwAJz+Q/pt68MwAAAAAAcAPwA/PwA/AACAAAAAAAA8L8ChQ1Pr5QlFEACkzoBTYSNBsAAAAAAGAAAAPz8APwAAgAAAAAAAPC/AkA1XrpJzBXAAiNseHqlLBHAAAAAABgAAAD8/AD8AAIAAAAAAADwvwKeXinLEEcQwALdtYR80LMAwAAAAAA8AAQBZQQAAAAAAAAAAAAIAWUEAAAAAAAAAAAEDAFlCAwAAAAAAAAABBABZQQAAAAAAAAAAAwUAWUEAAAAAAAAAAAQGAFlCAwAAAAAAAAAFBwBZQgIAAAAAAAAABQgAWUEAAAAAAAAAAAYJAFlBAAAAAAAAAAAICgBZQgAAAAAAAAAACQsAWUEAAAAAAAAAAAoMAFlCAAAAAAAAAAALDQBZQQAAAAAAAAAACw4AWUEAAAAAAAAAAAYHAFlBAAAAAAAAAAAAAAAAA==</t>
        </r>
      </text>
    </comment>
    <comment ref="A24" authorId="0" shapeId="0" xr:uid="{AC852734-5A44-4F7F-848F-66DE750D8D59}">
      <text>
        <r>
          <rPr>
            <sz val="9"/>
            <color indexed="81"/>
            <rFont val="Segoe UI"/>
            <charset val="1"/>
          </rPr>
          <t>Insight iXlW00001C0000024R0080105531S00000046P01204LAocjBAQBF1NjaVRlZ2ljLmRhdGEuTW9sZWN1bGUBbwF/ARJTY2lUZWdpYy5Nb2xlY3VsZQAAAQFkAv5qAQAAAAIAAgEQAREAAAD8/AD8AAIAAAAAAADwvwAAAAAAABgAAAD8/AD8AAIAAAAAAADwvwK2FfvL7sn0PwIcfGEyVTDoPwAAAAAYAAAA/PwA/AACAAAAAAAA8L8CthX7y+7JBEAAAAAAABgAAAD8/AD8AAIAAAAAAADwvwK2FfvL7sn0PwJANV66SQwCQAAAAAAYAAAA/PwA/AACAAAAAAAA8L8CWMoyxLEuD0ACHHxhMlUw6D8AAAAAGAAAAPz8APwAAgAAAAAAAPC/ArYV+8vuyQRAAjnWxW00AAhAAAAAABwAAAD8/AD8AAIAAAAAAADwvwKZKhiV1MkUQALtDb4wmSqIPwAAAAAYAAAA/PwA/AACAAAAAAAA8L8CWMoyxLEuD0ACQDVeukkMAkAAAAAAGAAAAPz8APwAAgAAAAAAAPC/ApkqGJXUyRRAAlYwKqkT0Pe/AAAAACAAAAD8/AD8AAIAAAAAAADwvwJYyjLEsS4PQAIkufyH9NsBwAAAAAAgAAAA/PwA/AACAAAAAAAA8L8CB/AWSFD8GUACJLn8h/TbAcAAAAAAGAAAAPz8APwAAgAAAAAAAPC/AgfwFkhQ/BlAAl2PwvUo3A3AAAAAABgAAAD8/AD8AAIAAAAAAADwvwJ0tRX7yy4fQAIydy0hH/QRwAAAAAAYAAAA/PwA/AACAAAAAAAA8L8C48eYu5YwIkACrkfhehTuFMAAAAAAGAAAAPz8APwAAgAAAAAAAPC/ApkqGJXUySRAAk5iEFg59BfAAAAAAAERAAAA/PwA/AACAAAAAAAA8L8CmSoYldTJJEACak3zjlP0HcAAAAAAARAABAFlBAAAAAAAAAAABAgBZQgMAAAAAAAAAAQMAWUEAAAAAAAAAAAIEAFlBAAAAAAAAAAADBQBZQgIAAAAAAAAABAYAWUEAAAAAAAAAAAQHAFlCAgAAAAAAAAAGCABZQQAAAAAAAAAACAkAWUIAAAAAAAAAAAgKAFlBAAAAAAAAAAAKCwBZQQAAAAAAAAAACwwAWUEAAAAAAAAAAAwNAFlDAAAAAAAAAAANDgBZQQAAAAAAAAAADg8AWUEAAAAAAAAAAAUHAFlBAAAAAAAAAAAAAAAAA==</t>
        </r>
      </text>
    </comment>
    <comment ref="A25" authorId="0" shapeId="0" xr:uid="{14B2B03B-F00B-4B51-AFD3-34B318E6CF10}">
      <text>
        <r>
          <rPr>
            <sz val="9"/>
            <color indexed="81"/>
            <rFont val="Segoe UI"/>
            <charset val="1"/>
          </rPr>
          <t>Insight iXlW00001C0000025R0080105531S00000048P01888LAocjBAQBF1NjaVRlZ2ljLmRhdGEuTW9sZWN1bGUBbwF/ARJTY2lUZWdpYy5Nb2xlY3VsZQAAAQFkAv5qAQAAAAIAAgEZJAAAAPz8APwAAgAAAAAAAPC/AAAAAAAAGAAAAPz8APwAAgAAAAAAAPC/AvJjzF1LyPQ/AljKMsSxLug/AAAAABgAAAD8/AD8AAIAAAAAAADwvwLW52or9pf0PwLtL7snDwsCQAAAAAAYAAAA/PwA/AACAAAAAAAA8L8C8mPMXUvIBEAC7Q2+MJkqiD8AAAAAGAAAAPz8APwAAgAAAAAAAPC/AuSlm8QgsARAAoPix5i7FghAAAAAABgAAAD8/AD8AAIAAAAAAADwvwLtDb4wmSqIvwJ1JJf/kP4HQAAAAAAYAAAA/PwA/AACAAAAAAAA8L8C6pWyDHEsD0ACkML1KFyP6D8AAAAAGAAAAPz8APwAAgAAAAAAAPC/AtzXgXNGFA9AAvvt68A5IwJAAAAAACQAAAD8/AD8AAIAAAAAAADwvwIN4C2QoPj0vwL9GHPXEvINQAAAAAAkAAAA/PwA/AACAAAAAAAA8L8C7Q2+MJkqmL8CyeU/pN/+EUAAAAAAJAAAAPz8APwAAgAAAAAAAPC/Ag3gLZCg+PS/At9xio7k8gFAAAAAACAAAAD8/AD8AAIAAAAAAADwvwLrBDQRNrwUQAKRoPgx5i4IQAAAAAAYDAAA/PwA/AACAAAAAAAA8L8C5x2n6EjuGUACCKwcWmQ7AkAAAAAAGAAAAPz8APwAAgAAAAAAAPC/AuM2GsBbIB9AAp5eKcsQRwhAAAAAABgAAAD8/AD8AAIAAAAAAADwvwLufD81XvoZQALHuriNBvDoPwAAAAAgAAAA/PwA/AACAAAAAAAA8L8C8KfGSzcpIkACFmpN845TAkAAAAAAHAAAAPz8APwAAgAAAAAAAPC/AtzXgXNGFB9AAvvt68A5IxJAAAAAABgAAAD8/AD8AAIAAAAAAADwvwLyY8xdS8gUQALtDb4wmSqYPwAAAAAYAAAA/PwA/AACAAAAAAAA8L8CbHh6pSwjIkACRkdy+Q8pFUAAAAAAGAAAAPz8APwAAgAAAAAAAPC/AulILv8hHSJAAtWa5h2nKBtAAAAAABgAAAD8/AD8AAIAAAAAAADwvwLVeOkmMQgfQAI1gLdAgiIeQAAAAAAYAAAA/PwA/AACAAAAAAAA8L8CZ9Xnaiu2JEACPN9PjZcuHkAAAAAAGAAAAPz8APwAAgAAAAAAAPC/As4ZUdob/B5AAuLplbIMESJAAAAAABgAAAD8/AD8AAIAAAAAAADwvwLkpZvEILAkQAJlGeJYFxciQAAAAAAYAAAA/PwA/AACAAAAAAAA8L8CZRniWBcXIkAChxbZzveTI0AAAAAAARoABAFlBAAAAAAAAAAABAgBZQgMAAAAAAAAAAQMAWUEAAAAAAAAAAAIEAFlBAAAAAAAAAAACBQBZQQAAAAAAAAAAAwYAWUICAAAAAAAAAAQHAFlCAwAAAAAAAAAFCABZQQAAAAAAAAAABQkAWUEAAAAAAAAAAAUKAFlBAAAAAAAAAAAHCwBZQQAAAAAAAAAADAsAWUEFAAAAAAAAAAwNAFlBAAAAAAAAAAAMDgBZQQAAAAAAAAAADQ8AWUIAAAAAAAAAAA0ARABZQQAAAAAAAAAADgBEQFlBAAAAAAAAAAAARABEgFlBAAAAAAAAAAAARIBEwFlBAAAAAAAAAAAARMBFAFlCAwAAAAAAAAAARMBFQFlBAAAAAAAAAAAARQBFgFlBAAAAAAAAAAAARUBFwFlCAgAAAAAAAAAARYBGAFlCAgAAAAAAAAAGBwBZQQAAAAAAAAAAAEXARgBZQQAAAAAAAAAAAAAAAA=</t>
        </r>
      </text>
    </comment>
    <comment ref="A26" authorId="0" shapeId="0" xr:uid="{79EBBF0F-EEDF-4B8F-A6A4-7A868E988A34}">
      <text>
        <r>
          <rPr>
            <sz val="9"/>
            <color indexed="81"/>
            <rFont val="Segoe UI"/>
            <charset val="1"/>
          </rPr>
          <t>Insight iXlW00001C0000026R0080105531S00000050P01292LAocjBAQBF1NjaVRlZ2ljLmRhdGEuTW9sZWN1bGUBbwF/ARJTY2lUZWdpYy5Nb2xlY3VsZQAAAQFkAv5qAQAAAAIAAgERAREAAAD8/AD8AAIAAAAAAADwvwAAAAAAABgAAAD8/AD8AAIAAAAAAADwvwIg0m9fB870vwJL6gQ0ETbovwAAAAAYAAAA/PwA/AACAAAAAAAA8L8CINJvXwfO9L8CchsN4C0QAsAAAAAAGAAAAPz8APwAAgAAAAAAAPC/AlmoNc07zgTAAAAAAAAcAAAA/PwA/AACAAAAAAAA8L8ChzjWxW00yL8CC0YldQIaCsAAAAAAGAAAAPz8APwAAgAAAAAAAPC/AlmoNc07zgTAAr7BFyZTBQjAAAAAABgAAAD8/AD8AAIAAAAAAADwvwJpke18PzUPwAJL6gQ0ETbovwAAAAAYAAAA/PwA/AACAAAAAAAA8L8CKssQx7q46b8C1LzjFB2JEsAAAAAAGAAAAPz8APwAAgAAAAAAAPC/AunZrPpcbfQ/Ak7zjlN0pAfAAAAAAAEQAAAA/PwA/AACAAAAAAAA8L8Cm1Wfq61YAsACHcnlP6TfEcAAAAAAGAAAAPz8APwAAgAAAAAAAPC/AmmR7Xw/NQ/AAiuHFtnO9wHAAAAAACAAAAD8/AD8AAIAAAAAAADwvwKKH2PuWkKuvwJ4nKIjubwXwAAAAAAYAAAA/PwA/AACAAAAAAAA8L8CjpduEoNAAkACa7x0kxhEEMAAAAAAIAAAAPz8APwAAgAAAAAAAPC/AgpoImx4+g1AAlH8GHPXEg7AAAAAACAAAAD8/AD8AAIAAAAAAADwvwJU46WbxCD9PwKUh4Va0/wVwAAAAAAYAAAA/PwA/AACAAAAAAAA8L8CQxzr4jaaBkACWMoyxLFuGsAAAAAAGAAAAPz8APwAAgAAAAAAAPC/AiigibDh6QJAAjNVMCqpEyDAAAAAAAESAAQBZQQAAAAAAAAAAAQIAWUICAAAAAAAAAAEDAFlBAAAAAAAAAAACBABZQQAAAAAAAAAAAgUAWUEAAAAAAAAAAAMGAFlCAgAAAAAAAAAEBwBZQQAAAAAAAAAABAgAWUEAAAAAAAAAAAUJAFlBAAAAAAAAAAAFCgBZQgIAAAAAAAAABwsAWUIAAAAAAAAAAAgMAFlBAAAAAAAAAAAMDQBZQgAAAAAAAAAADA4AWUEAAAAAAAAAAA4PAFlBAAAAAAAAAAAPAEQAWUEAAAAAAAAAAAYKAFlBAAAAAAAAAAAHCQBZQQAAAAAAAAAAAAAAAA=</t>
        </r>
      </text>
    </comment>
    <comment ref="A27" authorId="0" shapeId="0" xr:uid="{2F9180AA-36E8-42A1-BBE4-91BAF3B8A158}">
      <text>
        <r>
          <rPr>
            <sz val="9"/>
            <color indexed="81"/>
            <rFont val="Segoe UI"/>
            <charset val="1"/>
          </rPr>
          <t>Insight iXlW00001C0000027R0080105531S00000052P01700LAocjBAQBF1NjaVRlZ2ljLmRhdGEuTW9sZWN1bGUBbwF/ARJTY2lUZWdpYy5Nb2xlY3VsZQAAAQFkAv5qAQAAAAIAAgEXJAAAAPz8APwAAgAAAAAAAPC/AAAAAAAAGAAAAPz8APwAAgAAAAAAAPC/AAI8TtGRXP73vwAAAAAkAAAA/PwA/AACAAAAAAAA8L8C8mPMXUvI9L8C7S+7Jw8LAsAAAAAAJAAAAPz8APwAAgAAAAAAAPC/AvJjzF1LyPS/AljKMsSxLui/AAAAABgAAAD8/AD8AAIAAAAAAADwvwLyY8xdS8j0PwLtL7snDwsCwAAAAAAYAAAA/PwA/AACAAAAAAAA8L8C8mPMXUvIBEACPE7RkVz+978AAAAAGAAAAPz8APwAAgAAAAAAAPC/AvJjzF1LyPQ/AgvXo3A9Cg7AAAAAABgAAAD8/AD8AAIAAAAAAADwvwLqlbIMcSwPQALtL7snDwsCwAAAAAAYAAAA/PwA/AACAAAAAAAA8L8C8mPMXUvIBEACyeU/pN/+EcAAAAAAHAAEAPz8APwAAgAAAAAAAPC/AvJjzF1LyBRAAjxO0ZFc/ve/AAAAABgAAAD8/AD8AAIAAAAAAADwvwLqlbIMcSwPQAIL16NwPQoOwAAAAAAcAAQA/PwA/AACAAAAAAAA8L8C8mPMXUvIBEACWDm0yHb+F8AAAAAAIAAAAPz8APwAAgAAAAAAAPC/AvJjzF1LyBRAAAAAAAAgAPwA/PwA/AACAAAAAAAA8L8C7nw/NV76GUAC7S+7Jw8LAsAAAAAAHAAAAPz8APwAAgAAAAAAAPC/AvJjzF1LyBRAAsnlP6Tf/hHAAAAAACAAAAD8/AD8AAIAAAAAAADwvwLyY8xdS8j0PwKjkjoBTQQbwAAAAAAgAPwA/PwA/AACAAAAAAAA8L8C6pWyDHEsD0ACo5I6AU0EG8AAAAAAGAAAAPz8APwAAgAAAAAAAPC/AvJjzF1LyBRAAlg5tMh2/hfAAAAAABgAAAD8/AD8AAIAAAAAAADwvwLufD81XvoZQAIL16NwPQoOwAAAAAAYAAAA/PwA/AACAAAAAAAA8L8C7nw/NV76GUACo5I6AU0EG8AAAAAAGAAAAPz8APwAAgAAAAAAAPC/AuqVsgxxLB9AAsnlP6Tf/hHAAAAAABgAAAD8/AD8AAIAAAAAAADwvwLufD81XvoZQAKn6Egu/4EgwAAAAAAYAAAA/PwA/AACAAAAAAAA8L8C6pWyDHEsH0ACyeU/pN/+IcAAAAAAARcABAFlBAAAAAAAAAAABAgBZQQAAAAAAAAAAAQMAWUEAAAAAAAAAAAEEAFlBAAAAAAAAAAAEBQBZQgMAAAAAAAAABAYAWUEAAAAAAAAAAAUHAFlBAAAAAAAAAAAGCABZQgMAAAAAAAAABwkAWUEAAAAAAAAAAAcKAFlCAwAAAAAAAAAICwBZQQAAAAAAAAAACQwAWUIAAAAAAAAAAAkNAFlBAAAAAAAAAAAKDgBZQQAAAAAAAAAACw8AWUIAAAAAAAAAAAsARABZQQAAAAAAAAAADgBEQFlBAAAAAAAAAAAOAESAWUEAAAAAAAAAAABEQETAWUEAAAAAAAAAAABEgEUAWUEAAAAAAAAAAABEwEVAWUEAAAAAAAAAAABFQEWAWUEAAAAAAAAAAAgKAFlBAAAAAAAAAAAAAAAAA==</t>
        </r>
      </text>
    </comment>
    <comment ref="A28" authorId="0" shapeId="0" xr:uid="{B8CA5A96-DE00-4AD0-A7F5-1B830F6BC665}">
      <text>
        <r>
          <rPr>
            <sz val="9"/>
            <color indexed="81"/>
            <rFont val="Segoe UI"/>
            <charset val="1"/>
          </rPr>
          <t>Insight iXlW00001C0000028R0080105531S00000054P01292LAocjBAQBF1NjaVRlZ2ljLmRhdGEuTW9sZWN1bGUBbwF/ARJTY2lUZWdpYy5Nb2xlY3VsZQAAAQFkAv5qAQAAAAIAAgERARAAAAD8/AD8AAIAAAAAAADwvwAAAAAAACAAAAD8/AD8AAIAAAAAAADwvwLgLZCg+DHoPwKYbhKDwMr0PwAAAAAgAAAA/PwA/AACAAAAAAAA8L8CmG4Sg8DK9L8Cx9y1hHzQ5z8AAAAAIAAAAPz8APwAAgAAAAAAAPC/AphuEoPAyvQ/AsfctYR80Oe/AAAAABgAAAD8/AD8AAIAAAAAAADwvwLH3LWEfNDnvwKYbhKDwMr0vwAAAAAYAAAA/PwA/AACAAAAAAAA8L8CmG4Sg8DKBEAAAAAAABgAAAD8/AD8AAIAAAAAAADwvwIU0ETY8PQBwAKYbhKDwMr0vwAAAAAYAAAA/PwA/AACAAAAAAAA8L8Cq8/VVuwvD0ACx9y1hHzQ578AAAAAGAAAAPz8APwAAgAAAAAAAPC/AphuEoPAygRAAlMFo5I6Afg/AAAAABgAAAD8/AD8AAIAAAAAAADwvwJ8gy9MpsoUQALtDb4wmSqIPwAAAAAYAAAA/PwA/AACAAAAAAAA8L8Cq8/VVuwvD0ACIo51cRsNAkAAAAAAGAAAAPz8APwAAgAAAAAAAPC/AnyDL0ymyhRAAm+BBMWPMfg/AAAAABgAAAD8/AD8AAIAAAAAAADwvwKKH2PuWoIaQAJfKcsQx7rcvwAAAAAgAAAA/PwA/AACAAAAAAAA8L8Cih9j7lqCGkAC48eYu5aQ/z8AAAAAGAAAAPz8APwAAgAAAAAAAPC/Aq8l5IOeDR5AAhgmUwWjkug/AAAAABgAAAD8/AD8AAIAAAAAAADwvwJaZDvfTw0YQAIIzhlR2hv9vwAAAAAYAAAA/PwA/AACAAAAAAAA8L8CMLsnDwu1H0ACLGUZ4lgX878AAAAAARIABAFlCAAAAAAAAAAAAAgBZQgAAAAAAAAAAAAMAWUEAAAAAAAAAAAAEAFlBAAAAAAAAAAADBQBZQQAAAAAAAAAABAYAWUEAAAAAAAAAAAUHAFlCAwAAAAAAAAAFCABZQQAAAAAAAAAABwkAWUEAAAAAAAAAAAgKAFlCAgAAAAAAAAAJCwBZQgMAAAAAAAAACQwAWUEAAAAAAAAAAAsNAFlBAAAAAAAAAAAMDgBZQQAAAAAAAAAADA8AWUEAAAAAAAAAAAwARABZQQAAAAAAAAAACgsAWUEAAAAAAAAAAA0OAFlBAAAAAAAAAAAAAAAAA==</t>
        </r>
      </text>
    </comment>
    <comment ref="A29" authorId="0" shapeId="0" xr:uid="{6B4A8B95-78D4-495D-AC4E-B358D5A8B2E9}">
      <text>
        <r>
          <rPr>
            <sz val="9"/>
            <color indexed="81"/>
            <rFont val="Segoe UI"/>
            <charset val="1"/>
          </rPr>
          <t>Insight iXlW00001C0000029R0080105531S00000056P02052LAocjBAQBF1NjaVRlZ2ljLmRhdGEuTW9sZWN1bGUBbwF/ARJTY2lUZWdpYy5Nb2xlY3VsZQAAAQFkAv5qAQAAAAIAAgEcARAAAAD8/AD8AAIAAAAAAADwvwAAAAAAACAAAAD8/AD8AAIAAAAAAADwvwK5/If029fnPwLH3LWEfND0PwAAAAAgAAAA/PwA/AACAAAAAAAA8L8Cx9y1hHzQ9L8CufyH9NvX5z8AAAAAHAAAAPz8APwAAgAAAAAAAPC/AsfctYR80PQ/Arn8h/Tb1+e/AAAAABgAAAD8/AD8AAIAAAAAAADwvwK5/If029fnvwLH3LWEfND0vwAAAAAYAAAA/PwA/AACAAAAAAAA8L8Cx9y1hHzQBEAAAAAAABgAAAD8/AD8AAIAAAAAAADwvwJg5dAi2/kBwALH3LWEfND0vwAAAAAgAAAA/PwA/AACAAAAAAAA8L8Cx9y1hHzQBEACZMxdS8gH+D8AAAAAHAAAAPz8APwAAgAAAAAAAPC/AvH0SlmGOA9AArn8h/Tb1+e/AAAAABgAAAD8/AD8AAIAAAAAAADwvwJWDi2yne8HwALH3LWEfNAEwAAAAAAYAAAA/PwA/AACAAAAAAAA8L8CVg4tsp3vB8AAAAAAABgAAAD8/AD8AAIAAAAAAADwvwKq8dJNYtAUQAAAAAAAGAAAAPz8APwAAgAAAAAAAPC/AmDl0CLb+QHAAvH0SlmGOA/AAAAAABgAAAD8/AD8AAIAAAAAAADwvwJg5dAi2/kRwALH3LWEfNAEwAAAAAAYAAAA/PwA/AACAAAAAAAA8L8CYOXQItv5EcAAAAAAABwAAAD8/AD8AAIAAAAAAADwvwKq8dJNYtAUQAJkzF1LyAf4PwAAAAAcAAAA/PwA/AACAAAAAAAA8L8C3GgAb4EEGkACufyH9NvX578AAAAAIAAAAPz8APwAAgAAAAAAAPC/Arn8h/Tb1+e/AvH0SlmGOA/AAAAAACAAAAD8/AD8AAIAAAAAAADwvwJWDi2yne8HwAKq8dJNYtAUwAAAAAAYAAAA/PwA/AACAAAAAAAA8L8C2/l+arz0FMACx9y1hHzQ9L8AAAAAGAAAAPz8APwAAgAAAAAAAPC/AtxoAG+BBBpAAmDl0CLb+QFAAAAAABgAAAD8/AD8AAIAAAAAAADwvwIO4C2QoDgfQAAAAAAAGAAAAPz8APwAAgAAAAAAAPC/AmDl0CLb+QHAAtxoAG+BBBrAAAAAACAAAAD8/AD8AAIAAAAAAADwvwLcaABvgQQaQAKTy39Iv/0NQAAAAAAYAAAA/PwA/AACAAAAAAAA8L8CDuAtkKA4H0ACZMxdS8gH+D8AAAAAIAAAAPz8APwAAgAAAAAAAPC/AqCrrdhfNiJAArn8h/Tb1+e/AAAAABgAAAD8/AD8AAIAAAAAAADwvwKq8dJNYtAUQAJg5dAi2/kRQAAAAAAYAAAA/PwA/AACAAAAAAAA8L8CoKut2F82IkACYOXQItv5AcAAAAAAAR0ABAFlCAAAAAAAAAAAAAgBZQgAAAAAAAAAAAAMAWUEAAAAAAAAAAAAEAFlBAAAAAAAAAAADBQBZQQAAAAAAAAAABAYAWUEAAAAAAAAAAAUHAFlCAAAAAAAAAAAFCABZQQAAAAAAAAAABgkAWUICAAAAAAAAAAYKAFlBAAAAAAAAAAAICwBZQQAAAAAAAAAACQwAWUEAAAAAAAAAAAkNAFlBAAAAAAAAAAAKDgBZQgIAAAAAAAAACw8AWUIDAAAAAAAAAAsARABZQQAAAAAAAAAADABEQFlCAAAAAAAAAAAMAESAWUEAAAAAAAAAAA0ARMBZQgIAAAAAAAAADwBFAFlBAAAAAAAAAAAARABFQFlCAwAAAAAAAAAARIBFgFlBAAAAAAAAAAAARQBFwFlBAAAAAAAAAAAARQBGAFlCAgAAAAAAAAAARUBGQFlBAAAAAAAAAAAARcBGgFlBAAAAAAAAAAAARkBGwFlBAAAAAAAAAAAOAETAWUEAAAAAAAAAAABFQEYAWUEAAAAAAAAAAAAAAAA</t>
        </r>
      </text>
    </comment>
    <comment ref="A30" authorId="0" shapeId="0" xr:uid="{2C26262E-7B21-40B8-8483-2E33B2630AF2}">
      <text>
        <r>
          <rPr>
            <sz val="9"/>
            <color indexed="81"/>
            <rFont val="Segoe UI"/>
            <charset val="1"/>
          </rPr>
          <t>Insight iXlW00001C0000030R0080105531S00000058P01724LAocjBAQBF1NjaVRlZ2ljLmRhdGEuTW9sZWN1bGUBbwF/ARJTY2lUZWdpYy5Nb2xlY3VsZQAAAQFkAv5qAQAAAAIAAgEXARAAAAD8/AD8AAIAAAAAAADwvwAAAAAAACAAAAD8/AD8AAIAAAAAAADwvwIYJlMFo5L0vwKZTBWMSuroPwAAAAAgAAAA/PwA/AACAAAAAAAA8L8CmUwVjErq6D8CGCZTBaOS9D8AAAAAHAAAAPz8APwAAgAAAAAAAPC/AhgmUwWjkvQ/AplMFYxK6ui/AAAAABgAAAD8/AD8AAIAAAAAAADwvwKZTBWMSurovwIYJlMFo5L0vwAAAAAYAAAA/PwA/AACAAAAAAAA8L8CNKK0N/jCBEACaZHtfD81rr8AAAAAGAAAAPz8APwAAgAAAAAAAPC/AvRsVn2uNgLAAsSxLm6jAfS/AAAAABgAAAD8/AD8AAIAAAAAAADwvwJpke18PzWuvwI0orQ3+MIEwAAAAAAYAAAA/PwA/AACAAAAAAAA8L8CQDVeukkMD0ACzczMzMzM6r8AAAAAGAAAAPz8APwAAgAAAAAAAPC/AhvAWyBBcQjAAu7rwDkjSgTAAAAAABgAAAD8/AD8AAIAAAAAAADwvwLNzMzMzMzqvwJANV66SQwPwAAAAAABEAAAAPz8APwAAgAAAAAAAPC/AjSitDf4whRAAmmR7Xw/Nb6/AAAAABgAAAD8/AD8AAIAAAAAAADwvwI6I0p7g68CwAJP0ZFc/sMOwAAAAAA8AAAA/PwA/AACAAAAAAAA8L8C1lbsL7vnGUAC5KWbxCCw7L8AAAAAARAAAAD8/AD8AAIAAAAAAADwvwJDrWneccoWQAKFfNCzWXUBwAAAAAAgAAAA/PwA/AACAAAAAAAA8L8CTRWMSuoEHUACmUwVjErq2D8AAAAAIAAAAPz8APwAAgAAAAAAAPC/AlwgQfFjDB9AAj55WKg1zfq/AAAAABgAAAD8/AD8AAIAAAAAAADwvwKoxks3iYEhQAJKe4MvTKbWPwAAAAAYAAAA/PwA/AACAAAAAAAA8L8CRwN4CyToHkACpixDHOtiCcAAAAAAGAAAAPz8APwAAgAAAAAAAPC/AnIbDeAtECNAAusENBE2PPo/AAAAABgAAAD8/AD8AAIAAAAAAADwvwLgLZCg+PEiQAL6fmq8dJPuvwAAAAAYAAAA/PwA/AACAAAAAAAA8L8CZ2ZmZmYGIkACk6mCUUmdD8AAAAAAGAAAAPz8APwAAgAAAAAAAPC/ArN78rBQqxlAAk7zjlN0JA/AAAAAAAEXAAQBZQgAAAAAAAAAAAAIAWUIAAAAAAAAAAAADAFlBAAAAAAAAAAAABABZQQAAAAAAAAAAAwUAWUEAAAAAAAAAAAQGAFlCAwAAAAAAAAAEBwBZQQAAAAAAAAAABQgAWUEAAAAAAAAAAAYJAFlBAAAAAAAAAAAHCgBZQgIAAAAAAAAACAsAWUEAAAAAAAAAAAkMAFlCAgAAAAAAAAALDQBZQQAAAAAAAAAADQ4AWUIAAAAAAAAAAA0PAFlBAAAAAAAAAAANAEQAWUEAAAAAAAAAAA8AREBZQQAAAAAAAAAAAEQARIBZQQAAAAAAAAAAAERARMBZQQAAAAAAAAAAAERARQBZQQAAAAAAAAAAAESARUBZQQAAAAAAAAAAAESARYBZQQAAAAAAAAAACgwAWUEAAAAAAAAAAAAAAAA</t>
        </r>
      </text>
    </comment>
    <comment ref="A31" authorId="0" shapeId="0" xr:uid="{8CF1FEF7-C551-477E-9E23-2F7520BEEFCF}">
      <text>
        <r>
          <rPr>
            <sz val="9"/>
            <color indexed="81"/>
            <rFont val="Segoe UI"/>
            <charset val="1"/>
          </rPr>
          <t>Insight iXlW00001C0000031R0080105531S00000060P01208LAocjBAQBF1NjaVRlZ2ljLmRhdGEuTW9sZWN1bGUBbwF/ARJTY2lUZWdpYy5Nb2xlY3VsZQAAAQFkAv5qAQAAAAIAAgEQARAAAAD8/AD8AAIAAAAAAADwvwAAAAAAACAAAAD8/AD8AAIAAAAAAADwvwJYW7G/7J73vwIcDeAtkKDQPwAAAAAgAAAA/PwA/AACAAAAAAAA8L8Cxm00gLdA4L8CsHJoke189r8AAAAAHAAAAPz8APwAAgAAAAAAAPC/AAKPU3Qkl//3PwAAAAAcAAAA/PwA/AACAAAAAAAA8L8CRWlv8IXJ9D8CHHxhMlUw6L8AAAAAGAAAAPz8APwAAgAAAAAAAPC/AkVpb/CFyfQ/As+I0t7gCwJAAAAAABgAAAD8/AD8AAIAAAAAAADwvwJFaW/whcn0vwLByqFFtvMBQAAAAAAYAAAA/PwA/AACAAAAAAAA8L8CDJOpglHJBEAAAAAAACAAAAD8/AD8AAIAAAAAAADwvwJFaW/whcn0PwLPiNLe4AsOQAAAAAAYAAAA/PwA/AACAAAAAAAA8L8CDJOpglHJBEACj1N0JJf/9z8AAAAAGAAAAPz8APwAAgAAAAAAAPC/AkVpb/CFyfS/Aoj029eB8w1AAAAAABgAAAD8/AD8AAIAAAAAAADwvwIMk6mCUckEwAKPU3Qkl//3PwAAAAAYAAAA/PwA/AACAAAAAAAA8L8Cr0fhehQuD0AC5IOezarP578AAAAAGAAAAPz8APwAAgAAAAAAAPC/Aq9H4XoULg9AAs+I0t7gCwJAAAAAABgAAAD8/AD8AAIAAAAAAADwvwIMk6mCUckUQALtDb4wmSqIPwAAAAAYAAAA/PwA/AACAAAAAAAA8L8CDJOpglHJFEACHHxhMlUw+D8AAAAAAREABAFlCAAAAAAAAAAAAAgBZQgAAAAAAAAAAAAMAWUEAAAAAAAAAAAAEAFlBAAAAAAAAAAADBQBZQQAAAAAAAAAAAwYAWUEAAAAAAAAAAAQHAFlBAAAAAAAAAAAFCABZQgAAAAAAAAAABQkAWUEAAAAAAAAAAAYKAFlBAAAAAAAAAAAGCwBZQQAAAAAAAAAABwwAWUEAAAAAAAAAAAkNAFlBAAAAAAAAAAAMDgBZQgIAAAAAAAAADQ8AWUICAAAAAAAAAAcJAFlCAgAAAAAAAAAODwBZQQAAAAAAAAAAAAAAAA=</t>
        </r>
      </text>
    </comment>
    <comment ref="A32" authorId="0" shapeId="0" xr:uid="{AB56862D-0CFB-4658-8D87-76AC37A3B86C}">
      <text>
        <r>
          <rPr>
            <sz val="9"/>
            <color indexed="81"/>
            <rFont val="Segoe UI"/>
            <charset val="1"/>
          </rPr>
          <t>Insight iXlW00001C0000032R0080105531S00000062P02168LAocjBAQBF1NjaVRlZ2ljLmRhdGEuTW9sZWN1bGUBbwF/ARJTY2lUZWdpYy5Nb2xlY3VsZQAAAQFkAv5qAQAAAAIAAgEdAREAAAD8/AD8AAIAAAAAAADwvwAAAAAAABgAAAD8/AD8AAIAAAAAAADwvwAC5WGh1jTv978AAAAAGAAAAPz8APwAAgAAAAAAAPC/AtuK/WX35PS/AlAeFmpN8wHAAAAAABgAAAD8/AD8AAIAAAAAAADwvwLbiv1l9+T0PwJQHhZqTfMBwAAAAAAYAAAA/PwA/AACAAAAAAAA8L8C24r9ZffkBMAC5WGh1jTv978AAAAAGAAAAPz8APwAAgAAAAAAAPC/AtuK/WX35PS/AkLPZtXn6g3AAAAAABgAAAD8/AD8AAIAAAAAAADwvwLbiv1l9+T0PwJCz2bV5+oNwAAAAAAgAAAA/PwA/AACAAAAAAAA8L8C24r9ZffkBMAAAAAAABgAAAD8/AD8AAIAAAAAAADwvwI7kst/SD8PwAJQHhZqTfMBwAAAAAAYAAAA/PwA/AACAAAAAAAA8L8AAlAeFmpN8xHAAAAAAAEQAAAA/PwA/AACAAAAAAAA8L8C24r9ZffkBEACUB4Wak3zEcAAAAAAGAAAAPz8APwAAgAAAAAAAPC/ArHh6ZWyzBTAAuVhodY07/e/AAAAABgAAAD8/AD8AAIAAAAAAADwvwI7kst/SD8PwAJCz2bV5+oNwAAAAAAgAAAA/PwA/AACAAAAAAAA8L8CzqrP1Vbs+z8CbJp3nKLjFsAAAAAAIAAAAPz8APwAAgAAAAAAAPC/ApchjnVxGw5AAgdfmEwVzBXAAAAAABgAAAD8/AD8AAIAAAAAAADwvwINAiuHFlkNQAKmm8QgsHILwAAAAAABEAAAAPz8APwAAgAAAAAAAPC/ArHh6ZWyzBTAAAAAAAAYAAAA/PwA/AACAAAAAAAA8L8CYeXQItv5GcACUB4Wak3zAcAAAAAAIAAAAPz8APwAAgAAAAAAAPC/AtuK/WX35ATAAlAeFmpN8xHAAAAAABgAAAD8/AD8AAIAAAAAAADwvwKx4emVsswUwAJQHhZqTfMRwAAAAAAYAAAA/PwA/AACAAAAAAAA8L8ChC9MpgoGGsACdLUV+8vu5z8AAAAAGAAAAPz8APwAAgAAAAAAAPC/AmHl0CLb+RnAAkLPZtXn6g3AAAAAABgAAAD8/AD8AAIAAAAAAADwvwKEns2qz5UdwALcaABvgQQMwAAAAAAYAAAA/PwA/AACAAAAAAAA8L8Co7Q3+MKkGcAC3GgAb4GEE8AAAAAAGAAAAPz8APwAAgAAAAAAAPC/AjuSy39IPx/AAAAAAAAYAAAA/PwA/AACAAAAAAAA8L8ChC9MpgoGGsAClrIMcawLAkAAAAAAGAAAAPz8APwAAgAAAAAAAPC/AmfV52orNiLAAnS1FfvL7uc/AAAAABgAAAD8/AD8AAIAAAAAAADwvwI7kst/SD8fwALzH9JvXwcIQAAAAAAYAAAA/PwA/AACAAAAAAAA8L8CZ9Xnais2IsACUB4Wak3zAUAAAAAAASAABAFlBAAAAAAAAAAABAgBZQgIAAAAAAAAAAQMAWUEAAAAAAAAAAAIEAFlBAAAAAAAAAAACBQBZQQAAAAAAAAAAAwYAWUIDAAAAAAAAAAQHAFlCAAAAAAAAAAAECABZQQAAAAAAAAAABQkAWUICAAAAAAAAAAYKAFlBAAAAAAAAAAAICwBZQgIAAAAAAAAACAwAWUEAAAAAAAAAAAoNAFlCAAAAAAAAAAAKDgBZQgAAAAAAAAAACg8AWUEAAAAAAAAAAAsARABZQQAAAAAAAAAACwBEQFlBAAAAAAAAAAAMAESAWUIAAAAAAAAAAAwARMBZQQAAAAAAAAAAAEQARQBZQQAAAAAAAAAAAERARUBZQQAAAAAAAAAAAERARYBZQQAAAAAAAAAAAETARcBZQQAAAAAAAAAAAEUARgBZQgMAAAAAAAAAAEUARkBZQQAAAAAAAAAAAEYARoBZQQAAAAAAAAAAAEZARsBZQgIAAAAAAAAAAEaARwBZQgIAAAAAAAAABgkAWUEAAAAAAAAAAABEwEVAWUEAAAAAAAAAAABFgEXAWUEAAAAAAAAAAABGwEcAWUEAAAAAAAAAAAAAAAA</t>
        </r>
      </text>
    </comment>
    <comment ref="A33" authorId="0" shapeId="0" xr:uid="{4D8973B2-AF7A-49F8-8F4C-BA7943899C68}">
      <text>
        <r>
          <rPr>
            <sz val="9"/>
            <color indexed="81"/>
            <rFont val="Segoe UI"/>
            <charset val="1"/>
          </rPr>
          <t>Insight iXlW00001C0000033R0080105531S00000064P02168LAocjBAQBF1NjaVRlZ2ljLmRhdGEuTW9sZWN1bGUBbwF/ARJTY2lUZWdpYy5Nb2xlY3VsZQAAAQFkAv5qAQAAAAIAAgEdAREAAAD8/AD8AAIAAAAAAADwvwAAAAAAABgAAAD8/AD8AAIAAAAAAADwvwAC3GgAb4EE+L8AAAAAGAAAAPz8APwAAgAAAAAAAPC/Aq8l5IOezfS/AoIExY8x9wHAAAAAABgAAAD8/AD8AAIAAAAAAADwvwKvJeSDns30PwKCBMWPMfcBwAAAAAAYAAAA/PwA/AACAAAAAAAA8L8Cd08eFmrNBMAC3GgAb4EE+L8AAAAAGAAAAPz8APwAAgAAAAAAAPC/Aq8l5IOezfS/AvA4RUdy+Q3AAAAAABgAAAD8/AD8AAIAAAAAAADwvwKvJeSDns30PwLwOEVHcvkNwAAAAAAYAAAA/PwA/AACAAAAAAAA8L8Cd08eFmrNBEAC3GgAb4EE+L8AAAAAIAAAAPz8APwAAgAAAAAAAPC/AndPHhZqzQTAAAAAAAAYAAAA/PwA/AACAAAAAAAA8L8CTmIQWDk0D8ACggTFjzH3AcAAAAAAGAAAAPz8APwAAgAAAAAAAPC/AAKlTkATYQMSwAAAAAABEQAAAPz8APwAAgAAAAAAAPC/AndPHhZqzQRAAqVOQBNhAxLAAAAAABgAAAD8/AD8AAIAAAAAAADwvwLZX3ZPHhYVwALwFkhQ/Bj6vwAAAAAYAAAA/PwA/AACAAAAAAAA8L8CutqK/WU3EMAC4noUrkfhDcAAAAAAIAAAAPz8APwAAgAAAAAAAPC/AhueXinLUBbAAsl2vp8aL8W/AAAAABwAAAD8/AD8AAIAAAAAAADwvwLtnjws1BoZwALHuriNBvAFwAAAAAAcAAAA/PwA/AACAAAAAAAA8L8C3NeBc0YUFsACs3vysFArEMAAAAAAGAAAAPz8APwAAgAAAAAAAPC/Al7cRgN4iwfAAqFns+pz9RLAAAAAABgAAAD8/AD8AAIAAAAAAADwvwIMk6mCUQkcwAK38/3UeOnSPwAAAAAYAAAA/PwA/AACAAAAAAAA8L8CHVpkO98PH8ACaZHtfD+1BMAAAAAAGAAAAPz8APwAAgAAAAAAAPC/Ak/RkVz+Qx3AAgXFjzF3Lfw/AAAAACAAAAD8/AD8AAIAAAAAAADwvwKneccpOtIYwALjNhrAWyAGQAAAAAAYAAAA/PwA/AACAAAAAAAA8L8Cku18PzV+IcACZohjXdzGAUAAAAAAGAAAAPz8APwAAgAAAAAAAPC/AmUZ4lgXtyPAAgpoImx4evM/AAAAABgAAAD8/AD8AAIAAAAAAADwvwJBguLHmBsiwAJxrIvbaIANQAAAAAAYAAAA/PwA/AACAAAAAAAA8L8C3pOHhVqTJsAC0bNZ9bna+j8AAAAAGAAAAPz8APwAAgAAAAAAAPC/AiuHFtnO9yTAAiqpE9BEmBBAAAAAABgAAAD8/AD8AAIAAAAAAADwvwL/snvysDAnwAL0/dR46SYJQAAAAAAYAAAA/PwA/AACAAAAAAAA8L8CeC0hH/QMKsAC16NwPQrXDEAAAAAAAR8ABAFlBAAAAAAAAAAABAgBZQgIAAAAAAAAAAQMAWUEAAAAAAAAAAAIEAFlBAAAAAAAAAAACBQBZQQAAAAAAAAAAAwYAWUIDAAAAAAAAAAMHAFlBAAAAAAAAAAAECABZQgAAAAAAAAAABAkAWUEAAAAAAAAAAAUKAFlCAgAAAAAAAAAGCwBZQQAAAAAAAAAACQwAWUICAAAAAAAAAAkNAFlBAAAAAAAAAAAMDgBZQQAAAAAAAAAADA8AWUEAAAAAAAAAAA0ARABZQgIAAAAAAAAADQBEQFlBAAAAAAAAAAAOAESAWUEAAAAAAAAAAA8ARMBZQQAAAAAAAAAAAESARQBZQQAAAAAAAAAAAEUARUBZQgAAAAAAAAAAAEUARYBZQQAAAAAAAAAAAEWARcBZQgMAAAAAAAAAAEWARgBZQQAAAAAAAAAAAEXARkBZQQAAAAAAAAAAAEYARoBZQgIAAAAAAAAAAEZARsBZQgMAAAAAAAAAAEbARwBZQQAAAAAAAAAABgoAWUEAAAAAAAAAAA8ARABZQQAAAAAAAAAAAEaARsBZQQAAAAAAAAAAAAAAAA=</t>
        </r>
      </text>
    </comment>
    <comment ref="A34" authorId="0" shapeId="0" xr:uid="{D7132E83-8FFE-4BCA-B35E-F1CF363FC8A2}">
      <text>
        <r>
          <rPr>
            <sz val="9"/>
            <color indexed="81"/>
            <rFont val="Segoe UI"/>
            <charset val="1"/>
          </rPr>
          <t>Insight iXlW00001C0000034R0080105531S00000066P01084LAocjBAQBF1NjaVRlZ2ljLmRhdGEuTW9sZWN1bGUBbwF/ARJTY2lUZWdpYy5Nb2xlY3VsZQAAAQFkAv5qAQAAAAIAAjgBEAAAAPz8APwAAgAAAAAAAPC/AAAAAAAAGAAAAPz8APwAAgAAAAAAAPC/Aqd5xyk6ksM/AmAHzhlR2ve/AAAAABgAAAD8/AD8AAIAAAAAAADwvwLEQq1p3nH3vwL8qfHSTWLUPwAAAAAcAAAA/PwA/AACAAAAAAAA8L8Cp3nHKTqS878C1sVtNIC3AMAAAAAAHAAAAPz8APwAAgAAAAAAAPC/AnctIR/0bPY/Amb35GGh1gHAAAAAABgAAAD8/AD8AAIAAAAAAADwvwJm9+RhodYBwAIUYcPTK2XvvwAAAAAYAAAA/PwA/AACAAAAAAAA8L8CGJXUCWiiAcAC+THmriXk+T8AAAAAGAAAAPz8APwAAgAAAAAAAPC/At21hHzQMwVAAhPyQc9m1fa/AAAAABgAAAD8/AD8AAIAAAAAAADwvwIhQfFjzN0NwALpSC7/If3uvwAAAAAYAAAA/PwA/AACAAAAAAAA8L8C097gC5OpDcACDr4wmSoY+j8AAAAAIAAAAPz8APwAAgAAAAAAAPC/AvSOU3QklwRAAi//If32dcg/AAAAABwAAAD8/AD8AAIAAAAAAADwvwLG/rJ78jAPQALA7J48LFQBwAAAAAAYAAAA/PwA/AACAAAAAAAA8L8CbJp3nKLjEcACFoxK6gQ01T8AAAAAGAAAAPz8APwAAgAAAAAAAPC/AvSOU3QklxRAAsfctYR80PW/AAAAADwABAFlBAAAAAAAAAAAAAgBZQQAAAAAAAAAAAQMAWUICAAAAAAAAAAEEAFlBAAAAAAAAAAACBQBZQgMAAAAAAAAAAgYAWUEAAAAAAAAAAAQHAFlBAAAAAAAAAAAFCABZQQAAAAAAAAAABgkAWUICAAAAAAAAAAcKAFlCAAAAAAAAAAAHCwBZQQAAAAAAAAAACAwAWUICAAAAAAAAAAsNAFlBAAAAAAAAAAADBQBZQQAAAAAAAAAACQwAWUEAAAAAAAAAAAAAAAA</t>
        </r>
      </text>
    </comment>
    <comment ref="A35" authorId="0" shapeId="0" xr:uid="{EB450103-C8AB-4F8D-9D31-B6E637157B33}">
      <text>
        <r>
          <rPr>
            <sz val="9"/>
            <color indexed="81"/>
            <rFont val="Segoe UI"/>
            <charset val="1"/>
          </rPr>
          <t>Insight iXlW00001C0000035R0080105531S00000068P01496LAocjBAQBF1NjaVRlZ2ljLmRhdGEuTW9sZWN1bGUBbwF/ARJTY2lUZWdpYy5Nb2xlY3VsZQAAAQFkAv5qAQAAAAIBAgEVPAAAAPz8APwAAgAAAAAAAPC/AAAAAAAAIAAAAPz8APwAAgAAAAAAAPC/AAK62or9Zff3PwAAAAAgAAAA/PwA/AACAAAAAAAA8L8CS+oENBE29z8C1ZrmHafo2L8AAAAAGAAAAPz8APwAAgAAAAAAAPC/AlJJnYAmwvS/AkcDeAskKOi/AAAAABgAAAD8/AD8AAIAAAAAAADwvwKWQ4ts5/vwPwKWQ4ts5/vwvwAAAAAYAAAA/PwA/AACAAAAAAAA8L8CUkmdgCbCBMAAAAAAABgMAAD8/AD8AAIAAAAAAADwvwL77evAOSMPwAJHA3gLJCjovwAAAAAcAAAA/PwA/AACAAAAAAAA8L8C++3rwDkjD8ACL26jAbwFAsAAAAAAGAAAAPz8APwAAgAAAAAAAPC/AlJJnYAmwhTAAAAAAAAgAAAA/PwA/AACAAAAAAAA8L8CUkmdgCbCFMACutqK/WX39z8AAAAAHAAAAPz8APwAAgAAAAAAAPC/AsOGp1fK8hnAAkcDeAskKOi/AAAAABgMAAD8/AD8AAIAAAAAAADwvwIX2c73UyMfwAAAAAAAGAAAAPz8APwAAgAAAAAAAPC/ArYV+8vuKSLAAkcDeAskKOi/AAAAABgAAAD8/AD8AAIAAAAAAADwvwIX2c73UyMfwAK62or9Zff3PwAAAAAgAAAA/PwA/AACAAAAAAAA8L8CthX7y+4pIsACL26jAbwFAsAAAAAAHAAAAPz8APwAAgAAAAAAAPC/AuC+DpwzwiTAAAAAAAAYDAAA/PwA/AACAAAAAAAA8L8CCmgibHhaJ8ACRwN4CyQo6L8AAAAAGAAAAPz8APwAAgAAAAAAAPC/AjQRNjy98inAAAAAAAAYAAAA/PwA/AACAAAAAAAA8L8CCmgibHhaJ8ACL26jAbwFAsAAAAAAIAAAAPz8APwAAgAAAAAAAPC/AjQRNjy98inAArraiv1l9/c/AAAAACAAAAD8/AD8AAIAAAAAAADwvwJfukkMAosswAJHA3gLJCjovwAAAAABFAAEAWUIAAAAAAAAAAAACAFlBAAAAAAAAAAAAAwBZQQAAAAAAAAAAAAQAWUEAAAAAAAAAAAMFAFlBAAAAAAAAAAAFBgBZQQAAAAAAAAAABgcAWUEFAAAAAAAAAAYIAFlBAAAAAAAAAAAICQBZQgAAAAAAAAAACAoAWUEAAAAAAAAAAAoLAFlBAAAAAAAAAAALDABZQQAAAAAAAAAACw0AWUEFAAAAAAAAAAwOAFlCAAAAAAAAAAAMDwBZQQAAAAAAAAAADwBEAFlBAAAAAAAAAAAARABEQFlBAAAAAAAAAAAARABEgFlBBAAAAAAAAAAAREBEwFlCAAAAAAAAAAAAREBFAFlBAAAAAAAAAAAAAAAAA==</t>
        </r>
      </text>
    </comment>
    <comment ref="A36" authorId="0" shapeId="0" xr:uid="{5374184E-FB4A-4B07-902F-A2AE76A16530}">
      <text>
        <r>
          <rPr>
            <sz val="9"/>
            <color indexed="81"/>
            <rFont val="Segoe UI"/>
            <charset val="1"/>
          </rPr>
          <t>Insight iXlW00001C0000036R0080105531S00000070P02128LAocjBAQBF1NjaVRlZ2ljLmRhdGEuTW9sZWN1bGUBbwF/ARJTY2lUZWdpYy5Nb2xlY3VsZQAAAQFkAv5qAQAAAAIAAgEcJAAAAPz8APwAAgAAAAAAAPC/AAAAAAAAGAAAAPz8APwAAgAAAAAAAPC/AvoP6bevA/G/AvoP6bevA/G/AAAAACQAAAD8/AD8AAIAAAAAAADwvwI4iUFg5dD+vwJm9+RhoVYCwAAAAAAkAAAA/PwA/AACAAAAAAAA8L8CQRNhw9MrtT8CUkmdgCZCAMAAAAAAGAAAAPz8APwAAgAAAAAAAPC/ArprCfmg5wLAAtEi2/l+atS/AAAAABwAAAD8/AD8AAIAAAAAAADwvwK6awn5oOcCwALyQc9m1efyPwAAAAAYAAAA/PwA/AACAAAAAAAA8L8CryXkg55NDcAC+g/pt68D8b8AAAAAGAAAAPz8APwAAgAAAAAAAPC/Aq8l5IOeTQ3AAjiJQWDl0P4/AAAAABgAAAD8/AD8AAIAAAAAAADwvwK2hHzQs9kTwALRItv5fmrUvwAAAAAYAAAA/PwA/AACAAAAAAAA8L8CtoR80LPZE8AC8kHPZtXn8j8AAAAAGAAAAPz8APwAAgAAAAAAAPC/Aq8l5IOeTQ3AAu/Jw0KtaQtAAAAAABgAAAD8/AD8AAIAAAAAAADwvwKV9gZfmAwZwAI4iUFg5dD+PwAAAAAgAAAA/PwA/AACAAAAAAAA8L8CumsJ+aDnAsAC0NVW7C+7EEAAAAAAIAAAAPz8APwAAgAAAAAAAPC/ApX2Bl+YDBnAAu/Jw0KtaQtAAAAAABgAAAD8/AD8AAIAAAAAAADwvwKPU3Qklz8ewALyQc9m1efyPwAAAAAYAAAA/PwA/AACAAAAAAAA8L8CumsJ+aDnAsACelioNc27FkAAAAAAGAAAAPz8APwAAgAAAAAAAPC/Ardif9k9uSHAAjiJQWDl0P4/AAAAABgAAAD8/AD8AAIAAAAAAADwvwKPU3Qklz8ewALRItv5fmrUvwAAAAAYAAAA/PwA/AACAAAAAAAA8L8C+g/pt68D8b8CUkmdgCbCGUAAAAAAIAAAAPz8APwAAgAAAAAAAPC/Ardif9k9uSHAAu/Jw0KtaQtAAAAAABgAAAD8/AD8AAIAAAAAAADwvwKmm8QgsFIkwALyQc9m1efyPwAAAAAgAAAA/PwA/AACAAAAAAAA8L8ClfYGX5gMGcAC+g/pt68D8b8AAAAAGAAAAPz8APwAAgAAAAAAAPC/Ardif9k9uSHAAvoP6bevA/G/AAAAACAAAAD8/AD8AAIAAAAAAADwvwL6D+m3rwPxvwL8y+7Jw8IfQAAAAAAYAAAA/PwA/AACAAAAAAAA8L8CppvEILBSJMAC0SLb+X5q1L8AAAAAGAAAAPz8APwAAgAAAAAAAPC/Alg5tMh2HibAAoNRSZ2AJrK/AAAAABgAAAD8/AD8AAIAAAAAAADwvwL8qfHSTSIkwALGbTSAt0D3vwAAAAAYAAAA/PwA/AACAAAAAAAA8L8CArwFEhQ/zj8C5q4l5INeIUAAAAAAAR4ABAFlBAAAAAAAAAAABAgBZQQAAAAAAAAAAAQMAWUEAAAAAAAAAAAEEAFlBAAAAAAAAAAAEBQBZQgMAAAAAAAAABAYAWUEAAAAAAAAAAAUHAFlBAAAAAAAAAAAGCABZQgIAAAAAAAAABwkAWUIDAAAAAAAAAAcKAFlBAAAAAAAAAAAJCwBZQQAAAAAAAAAACgwAWUEAAAAAAAAAAAsNAFlCAAAAAAAAAAALDgBZQQAAAAAAAAAADA8AWUEAAAAAAAAAAA4ARABZQgIAAAAAAAAADgBEQFlBAAAAAAAAAAAPAESAWUEAAAAAAAAAAABEAETAWUEAAAAAAAAAAABEAEUAWUEAAAAAAAAAAABEQEVAWUIAAAAAAAAAAABEQEWAWUEAAAAAAAAAAABEgEXAWUEAAAAAAAAAAABFAEYAWUEAAAAAAAAAAABFAEZAWUEAAAAAAAAAAABFgEaAWUEAAAAAAAAAAABFwEbAWUEAAAAAAAAAAAgJAFlBAAAAAAAAAAAARYBGAFlBAAAAAAAAAAAARkBGgFlBAAAAAAAAAAAAAAAAA==</t>
        </r>
      </text>
    </comment>
    <comment ref="A37" authorId="0" shapeId="0" xr:uid="{A9A83827-62B1-47D0-B3FC-5BFC54C2ED34}">
      <text>
        <r>
          <rPr>
            <sz val="9"/>
            <color indexed="81"/>
            <rFont val="Segoe UI"/>
            <charset val="1"/>
          </rPr>
          <t>Insight iXlW00001C0000037R0080105531S00000072P01636LAocjBAQBF1NjaVRlZ2ljLmRhdGEuTW9sZWN1bGUBbwF/ARJTY2lUZWdpYy5Nb2xlY3VsZQAAAQFkAv5qAQAAAAIAAgEWAREAAAD8/AD8AAIAAAAAAADwvwAAAAAAABgAAAD8/AD8AAIAAAAAAADwvwACSS7/If329z8AAAAAGAAAAPz8APwAAgAAAAAAAPC/AuGcEaW9wfQ/AvaX3ZOHBQJAAAAAABgAAAD8/AD8AAIAAAAAAADwvwLhnBGlvcH0vwL2l92ThwUCQAAAAAAgAAAA/PwA/AACAAAAAAAA8L8CGXPXEvLBBEACSS7/If329z8AAAAAGAAAAPz8APwAAgAAAAAAAPC/AuGcEaW9wfQ/Ahsv3SQGAQ5AAAAAABgAAAD8/AD8AAIAAAAAAADwvwLhnBGlvcH0vwIbL90kBgEOQAAAAAAYAAAA/PwA/AACAAAAAAAA8L8CikFg5dAiD0AC9pfdk4cFAkAAAAAAGAAAAPz8APwAAgAAAAAAAPC/AALarPpcbQUSQAAAAAABEQAAAPz8APwAAgAAAAAAAPC/Ahlz1xLywQTAAtqs+lxtBRJAAAAAABgAAAD8/AD8AAIAAAAAAADwvwIZc9cS8sEUQAJJLv8h/fb3PwAAAAAYAAAA/PwA/AACAAAAAAAA8L8CikFg5dAiD0ACGy/dJAYBDkAAAAAAGAAAAPz8APwAAgAAAAAAAPC/AlHaG3xh8hlAAvaX3ZOHBQJAAAAAABgAAAD8/AD8AAIAAAAAAADwvwIZc9cS8sEUQALarPpcbQUSQAAAAAAYAAAA/PwA/AACAAAAAAAA8L8CUdobfGHyGUACGy/dJAYBDkAAAAAAGAAAAPz8APwAAgAAAAAAAPC/AopBYOXQIh9AAkku/yH99vc/AAAAABwABAD8/AD8AAIAAAAAAADwvwKKQWDl0CIfQALarPpcbQUSQAAAAAAgAAAA/PwA/AACAAAAAAAA8L8C78nDQq0pIkAC9pfdk4cFAkAAAAAAIAAAAPz8APwAAgAAAAAAAPC/AopBYOXQIh9AAAAAAAAgAAAA/PwA/AACAAAAAAAA8L8CikFg5dAiH0ACbHh6pSwDGEAAAAAAIAD8APz8APwAAgAAAAAAAPC/Au/Jw0KtKSJAAhsv3SQGAQ5AAAAAABgAAAD8/AD8AAIAAAAAAADwvwLvycNCrSkiQAJlqmBUUifovwAAAAABFwAEAWUEAAAAAAAAAAAECAFlCAgAAAAAAAAABAwBZQQAAAAAAAAAAAgQAWUEAAAAAAAAAAAIFAFlBAAAAAAAAAAADBgBZQgMAAAAAAAAABAcAWUEAAAAAAAAAAAUIAFlCAgAAAAAAAAAGCQBZQQAAAAAAAAAABwoAWUIDAAAAAAAAAAcLAFlBAAAAAAAAAAAKDABZQQAAAAAAAAAACw0AWUICAAAAAAAAAAwOAFlCAwAAAAAAAAAMDwBZQQAAAAAAAAAADgBEAFlBAAAAAAAAAAAPAERAWUIAAAAAAAAAAA8ARIBZQQAAAAAAAAAAAEQARMBZQgAAAAAAAAAAAEQARQBZQQAAAAAAAAAAAESARUBZQQAAAAAAAAAABggAWUEAAAAAAAAAAA0OAFlBAAAAAAAAAAAAAAAAA==</t>
        </r>
      </text>
    </comment>
    <comment ref="A38" authorId="0" shapeId="0" xr:uid="{85BA34C9-B5CC-4023-B699-366C1CF651B5}">
      <text>
        <r>
          <rPr>
            <sz val="9"/>
            <color indexed="81"/>
            <rFont val="Segoe UI"/>
            <charset val="1"/>
          </rPr>
          <t>Insight iXlW00001C0000038R0080105531S00000074P02400LAocjBAQBF1NjaVRlZ2ljLmRhdGEuTW9sZWN1bGUBbwF/ARJTY2lUZWdpYy5Nb2xlY3VsZQAAAQFkAv5qAQAAAAIAAgEgLAAEAPz8APwAAgAAAAAAAPC/AAAAAAAAIAAAAPz8APwAAgAAAAAAAPC/AkGC4seYu/w/AkGC4seYuwxAAAAAABgAAAD8/AD8AAIAAAAAAADwvwJBguLHmLv8PwJfKcsQx7oAQAAAAAAgAPwA/PwA/AACAAAAAAAA8L8C4ZwRpb3B3z8CXI/C9Shc9T8AAAAAGAAAAPz8APwAAgAAAAAAAPC/AqVOQBNhwwhAAlyPwvUoXPU/AAAAABgAAAD8/AD8AAIAAAAAAADwvwIVrkfhepQRQAJfKcsQx7oAQAAAAAAYAAAA/PwA/AACAAAAAAAA8L8CpU5AE2HDCEACQRNhw9Mrxb8AAAAAIAAAAPz8APwAAgAAAAAAAPC/AhWuR+F6lBFAAkGC4seYuwxAAAAAABgAAAD8/AD8AAIAAAAAAADwvwK7SQwCK8cWQAJcj8L1KFz1PwAAAAAgAAAA/PwA/AACAAAAAAAA8L8CQYLix5i7/D8CeXqlLEMc7b8AAAAAGAAAAPz8APwAAgAAAAAAAPC/AhWuR+F6lBFAAnl6pSxDHO2/AAAAABgAAAD8/AD8AAIAAAAAAADwvwK7SQwCK8cWQALW52or9lcRQAAAAAAYAAAA/PwA/AACAAAAAAAA8L8Cu0kMAivHFkACQRNhw9Mrxb8AAAAAGAAAAPz8APwAAgAAAAAAAPC/AkGC4seYu/w/AoC3QILiRwPAAAAAABwAAAD8/AD8AAIAAAAAAADwvwJ90LNZ9fkbQAJBguLHmLsMQAAAAAAcAAAA/PwA/AACAAAAAAAA8L8Cu0kMAivHFkACR5T2Bl9YF0AAAAAAHAAAAPz8APwAAgAAAAAAAPC/AuGcEaW9wd8/AjGZKhiVVAnAAAAAABwAAAD8/AD8AAIAAAAAAADwvwKlTkATYcMIQAIxmSoYlVQJwAAAAAAYAAAA/PwA/AACAAAAAAAA8L8CoKut2F+WIEAC1udqK/ZXEUAAAAAAGAAAAPz8APwAAgAAAAAAAPC/An3Qs1n1+RtAAgOaCBueXhpAAAAAABgAAAD8/AD8AAIAAAAAAADwvwLhnBGlvcHfPwIK+aBns6oSwAAAAAAYAAAA/PwA/AACAAAAAAAA8L8CpU5AE2HDCEACCvmgZ7OqEsAAAAAAIAAAAPz8APwAAgAAAAAAAPC/AgFvgQTFLyNAAkGC4seYuwxAAAAAABgAAAD8/AD8AAIAAAAAAADwvwKgq63YX5YgQAJHlPYGX1gXQAAAAAAgAAAA/PwA/AACAAAAAAAA8L8CfdCzWfX5G0ACyJi7lpAvIEAAAAAAIAAAAPz8APwAAgAAAAAAAPC/AqFns+pztem/Ar+fGi/dpBXAAAAAABgAAAD8/AD8AAIAAAAAAADwvwJBguLHmLv8PwK/nxov3aQVwAAAAAAgAAAA/PwA/AACAAAAAAAA8L8CFa5H4XqUEUACv58aL92kFcAAAAAAGAAAAPz8APwAAgAAAAAAAPC/AgFvgQTFLyNAAl8pyxDHugBAAAAAABgAAAD8/AD8AAIAAAAAAADwvwK7SQwCK8cWQAIjbHh6pawhQAAAAAAYAAAA/PwA/AACAAAAAAAA8L8Cbef7qfHSAMACCvmgZ7OqEsAAAAAAGAAAAPz8APwAAgAAAAAAAPC/ArtJDAIrxxZAAgr5oGezqhLAAAAAAAEhBAgBZQgAAAAAAAAAAAgMAWUEAAAAAAAAAAAIEAFlBAAAAAAAAAAAEBQBZQgIAAAAAAAAABAYAWUEAAAAAAAAAAAUHAFlBAAAAAAAAAAAFCABZQQAAAAAAAAAABgkAWUEAAAAAAAAAAAYKAFlCAgAAAAAAAAAHCwBZQQAAAAAAAAAACAwAWUICAAAAAAAAAAkNAFlBAAAAAAAAAAALDgBZQgMAAAAAAAAACw8AWUEAAAAAAAAAAA0ARABZQgMAAAAAAAAADQBEQFlBAAAAAAAAAAAOAESAWUEAAAAAAAAAAA8ARMBZQgMAAAAAAAAAAEQARQBZQQAAAAAAAAAAAERARUBZQgMAAAAAAAAAAESARYBZQQAAAAAAAAAAAESARcBZQgIAAAAAAAAAAETARgBZQQAAAAAAAAAAAEUARkBZQQAAAAAAAAAAAEUARoBZQgIAAAAAAAAAAEVARsBZQQAAAAAAAAAAAEWARwBZQQAAAAAAAAAAAEYAR0BZQQAAAAAAAAAAAEZAR4BZQQAAAAAAAAAAAEbAR8BZQQAAAAAAAAAACgwAWUEAAAAAAAAAAABEwEXAWUEAAAAAAAAAAABFQEaAWUEAAAAAAAAAAAAAAAA</t>
        </r>
      </text>
    </comment>
    <comment ref="A39" authorId="0" shapeId="0" xr:uid="{7C138D9C-B4D0-4B84-B035-C360182F954E}">
      <text>
        <r>
          <rPr>
            <sz val="9"/>
            <color indexed="81"/>
            <rFont val="Segoe UI"/>
            <charset val="1"/>
          </rPr>
          <t>Insight iXlW00001C0000039R0080105531S00000076P01280LAocjBAQBF1NjaVRlZ2ljLmRhdGEuTW9sZWN1bGUBbwF/ARJTY2lUZWdpYy5Nb2xlY3VsZQAAAQFkAv5qAQAAAAIAAgERAREAAAD8/AD8AAIAAAAAAADwvwAAAAAAABgAAAD8/AD8AAIAAAAAAADwvwACNl66SQwC+L8AAAAAGAAAAPz8APwAAgAAAAAAAPC/AnrHKTqSy/Q/Ar1SliGO9QHAAAAAABgAAAD8/AD8AAIAAAAAAADwvwJ6xyk6ksv0vwK9UpYhjvUBwAAAAAAYAAAA/PwA/AACAAAAAAAA8L8CescpOpLL9D8CEVg5tMj2DcAAAAAAGAAAAPz8APwAAgAAAAAAAPC/AnrHKTqSywRAAjZeukkMAvi/AAAAABgAAAD8/AD8AAIAAAAAAADwvwJ6xyk6ksv0vwIRWDm0yPYNwAAAAAAYAAAA/PwA/AACAAAAAAAA8L8AAsSxLm6jARLAAAAAABwAAAD8/AD8AAIAAAAAAADwvwI3qz5XWzEPQAK9UpYhjvUBwAAAAAABEQAAAPz8APwAAgAAAAAAAPC/AnrHKTqSywTAAsSxLm6jARLAAAAAACAAAAD8/AD8AAIAAAAAAADwvwIv/yH99jUQQALKw0Ktad4NwAAAAAAYAAAA/PwA/AACAAAAAAAA8L8CpAG8BRIUFUACSgwCK4cW+r8AAAAAGAAAAPz8APwAAgAAAAAAAPC/Aqd5xyk6EhZAAgu1pnnHKRDAAAAAACAAAAD8/AD8AAIAAAAAAADwvwLKVMGopE4WQAJBE2HD0yvFvwAAAAAYAAAA/PwA/AACAAAAAAAA8L8CY3/ZPXkYGUACklz+Q/rtBcAAAAAAGAAAAPz8APwAAgAAAAAAAPC/AiL99nXgHB1AAkoMAiuHFvq/AAAAABgAAAD8/AD8AAIAAAAAAADwvwL1bFZ9rvYdQAIUP8bctQQNwAAAAAABEgAEAWUEAAAAAAAAAAAECAFlCAwAAAAAAAAABAwBZQQAAAAAAAAAAAgQAWUEAAAAAAAAAAAIFAFlBAAAAAAAAAAADBgBZQgMAAAAAAAAABAcAWUICAAAAAAAAAAUIAFlBAAAAAAAAAAAGCQBZQQAAAAAAAAAACAoAWUEAAAAAAAAAAAgLAFlBAAAAAAAAAAAKDABZQQAAAAAAAAAACw0AWUIAAAAAAAAAAAsOAFlBAAAAAAAAAAAODwBZQQAAAAAAAAAADgBEAFlBAAAAAAAAAAAGBwBZQQAAAAAAAAAADA4AWUEAAAAAAAAAAAAAAAA</t>
        </r>
      </text>
    </comment>
    <comment ref="A40" authorId="0" shapeId="0" xr:uid="{3A9D64C8-9E84-420B-8FC4-AD496A8D0396}">
      <text>
        <r>
          <rPr>
            <sz val="9"/>
            <color indexed="81"/>
            <rFont val="Segoe UI"/>
            <charset val="1"/>
          </rPr>
          <t>Insight iXlW00001C0000040R0080105531S00000078P01036LAocjBAQBF1NjaVRlZ2ljLmRhdGEuTW9sZWN1bGUBbwF/ARJTY2lUZWdpYy5Nb2xlY3VsZQAAAQFkAv5qAQAAAAIAAjgBIwAAAPz8APwAAgAAAAAAAPC/AAAAAAAAGAAAAPz8APwAAgAAAAAAAPC/AAIvbqMBvAX4PwAAAAAYAAAA/PwA/AACAAAAAAAA8L8CkX77OnDO9L8CnDOitDf4AUAAAAAAGAAAAPz8APwAAgAAAAAAAPC/ApF++zpwzvQ/ApwzorQ3+AFAAAAAACAAAAD8/AD8AAIAAAAAAADwvwKRfvs6cM4EwAIT8kHPZtX3PwAAAAAcAAAA/PwA/AACAAAAAAAA8L8CkX77OnDO9L8CexSuR+H6DUAAAAAAHAAAAPz8APwAAgAAAAAAAPC/ApF++zpwzvQ/AnsUrkfh+g1AAAAAABgAAAD8/AD8AAIAAAAAAADwvwKRfvs6cM4EQAIvbqMBvAX4PwAAAAAYAAAA/PwA/AACAAAAAAAA8L8AAoBIv30d+BFAAAAAABgMAAD8/AD8AAIAAAAAAADwvwKRfvs6cM4EwAKASL99HfgRQAAAAAAgAAAA/PwA/AACAAAAAAAA8L8AAgwkKH6M+RdAAAAAABgAAAD8/AD8AAIAAAAAAADwvwLaPXlYqDUPwAJ7FK5H4foNQAAAAAAYAAAA/PwA/AACAAAAAAAA8L8CkX77OnDOBMACDCQofoz5F0AAAAAAGAAAAPz8APwAAgAAAAAAAPC/ApF++zpwzhTAAoBIv30d+BFAAAAAADgABAFlBAAAAAAAAAAABAgBZQQAAAAAAAAAAAQMAWUIDAAAAAAAAAAIEAFlCAAAAAAAAAAACBQBZQQAAAAAAAAAAAwYAWUEAAAAAAAAAAAMHAFlBAAAAAAAAAAAFCABZQQAAAAAAAAAABQkAWUEAAAAAAAAAAAgKAFlCAAAAAAAAAAAJCwBZQQAAAAAAAAAACQwAWUEFAAAAAAAAAAsNAFlBAAAAAAAAAAAGCABZQQAAAAAAAAAAAAAAAA=</t>
        </r>
      </text>
    </comment>
    <comment ref="A41" authorId="0" shapeId="0" xr:uid="{91740B0F-DBE6-4D21-A76B-72779129DD55}">
      <text>
        <r>
          <rPr>
            <sz val="9"/>
            <color indexed="81"/>
            <rFont val="Segoe UI"/>
            <charset val="1"/>
          </rPr>
          <t>Insight iXlW00001C0000041R0080105531S00000080P01328LAocjBAQBF1NjaVRlZ2ljLmRhdGEuTW9sZWN1bGUBbwF/ARJTY2lUZWdpYy5Nb2xlY3VsZQAAAQFkAv5qAQAAAAIAAgESASMAAAD8/AD8AAIAAAAAAADwvwAAAAAAABgMAAD8/AD8AAIAAAAAAADwvwACB/AWSFD89z8AAAAAGAAAAPz8APwAAgAAAAAAAPC/ArwFEhQ/xvS/AvCnxks3CQJAAAAAABgAAAD8/AD8AAIAAAAAAADwvwK8BRIUP8b0PwLwp8ZLNwkCQAAAAAAgAAAA/PwA/AACAAAAAAAA8L8CvAUSFD/G9L8C8x/Sb18HDkAAAAAAHAAAAPz8APwAAgAAAAAAAPC/ArwFEhQ/xgTAAgfwFkhQ/Pc/AAAAABgAAAD8/AD8AAIAAAAAAADwvwK8BRIUP8YEQAIH8BZIUPz3PwAAAAAYAAAA/PwA/AACAAAAAAAA8L8CvAUSFD/G9D8C8x/Sb18HDkAAAAAAGAAAAPz8APwAAgAAAAAAAPC/ArwFEhQ/xgRAAs4ZUdob/AdAAAAAABgAAAD8/AD8AAIAAAAAAADwvwKaCBueXikPwALwp8ZLNwkCQAAAAAAYAAAA/PwA/AACAAAAAAAA8L8CvAUSFD/GFMACB/AWSFD89z8AAAAAGAAAAPz8APwAAgAAAAAAAPC/AkMc6+I2mhLAAs6qz9VWbAxAAAAAABgAAAD8/AD8AAIAAAAAAADwvwK8lpAPejYJwALOqs/VVmwMQAAAAAAYAAAA/PwA/AACAAAAAAAA8L8CvAUSFD/GFMAAAAAAABgAAAD8/AD8AAIAAAAAAADwvwIrhxbZzvcZwALwp8ZLNwkCQAAAAAAYAAAA/PwA/AACAAAAAAAA8L8CK4cW2c73GcACescpOpLL578AAAAAGAAAAPz8APwAAgAAAAAAAPC/ApoIG55eKR/AAgfwFkhQ/Pc/AAAAABgAAAD8/AD8AAIAAAAAAADwvwKaCBueXikfwAAAAAAAARIEAAFlBBQAAAAAAAAABAgBZQQAAAAAAAAAAAQMAWUEAAAAAAAAAAAIEAFlCAAAAAAAAAAACBQBZQQAAAAAAAAAAAwYAWUEAAAAAAAAAAAMHAFlBAAAAAAAAAAADCABZQQAAAAAAAAAABQkAWUEAAAAAAAAAAAkKAFlBAAAAAAAAAAAJCwBZQQAAAAAAAAAACQwAWUEAAAAAAAAAAAoNAFlCAwAAAAAAAAAKDgBZQQAAAAAAAAAADQ8AWUEAAAAAAAAAAA4ARABZQgIAAAAAAAAADwBEQFlCAgAAAAAAAAAARABEQFlBAAAAAAAAAAAAAAAAA==</t>
        </r>
      </text>
    </comment>
    <comment ref="A42" authorId="0" shapeId="0" xr:uid="{D4A41160-5A49-4853-AAF7-E32A6D921E39}">
      <text>
        <r>
          <rPr>
            <sz val="9"/>
            <color indexed="81"/>
            <rFont val="Segoe UI"/>
            <charset val="1"/>
          </rPr>
          <t>Insight iXlW00001C0000042R0080105531S00000082P01816LAocjBAQBF1NjaVRlZ2ljLmRhdGEuTW9sZWN1bGUBbwF/ARJTY2lUZWdpYy5Nb2xlY3VsZQAAAQFkAv5qAQAAAAIAAgEYASMAAAD8/AD8AAIAAAAAAADwvwAAAAAAABgAAAD8/AD8AAIAAAAAAADwvwJ0RpT2Bl+IvwKKQWDl0CL4PwAAAAAYAAAA/PwA/AACAAAAAAAA8L8CTMgHPZtV9D8CBOeMKO0NAkAAAAAAGAAAAPz8APwAAgAAAAAAAPC/Ag6+MJkqGPW/AgTnjCjtDQJAAAAAACAAAAD8/AD8AAIAAAAAAADwvwKSXP5D+m0EQAKKQWDl0CL4PwAAAAAYAAAA/PwA/AACAAAAAAAA8L8Cv58aL90k9D8CyQc9m1UfDkAAAAAAGAAAAPz8APwAAgAAAAAAAPC/ApvmHafoSPW/AskHPZtVHw5AAAAAAAEjAAAA/PwA/AACAAAAAAAA8L8CTMgHPZtVBEACC0YldQIaEkAAAAAAGAAAAPz8APwAAgAAAAAAAPC/AlK4HoXrUai/AgtGJXUCGhJAAAAAABgAAAD8/AD8AAIAAAAAAADwvwJHlPYGXxgFwAILRiV1AhoSQAAAAAAcAAAA/PwA/AACAAAAAAAA8L8CB1+YTBWMD8ACHVpkO99PDkAAAAAAIAAAAPz8APwAAgAAAAAAAPC/AgAAAAAAABXAAi6QoPgxJhJAAAAAABgAAAD8/AD8AAIAAAAAAADwvwJh5dAi2zkawAJk7lpCPmgOQAAAAAAYAAAA/PwA/AACAAAAAAAA8L8C3bWEfNBzH8ACdSSX/5A+EkAAAAAAGAAAAPz8APwAAgAAAAAAAPC/AoQvTKYKRhrAAiz2l92ThwJAAAAAABwABAD8/AD8AAIAAAAAAADwvwIAAAAAAIAfwAK7SQwCK0cYQAAAAAAYAAAA/PwA/AACAAAAAAAA8L8Cn82qz9VWIsACuECC4seYDkAAAAAAGAAAAPz8APwAAgAAAAAAAPC/AgAAAAAAgB/AAvXb14FzRvk/AAAAACAAAAD8/AD8AAIAAAAAAADwvwLKw0KtaV4awALarPpcbUUbQAAAAAAgAPwA/PwA/AACAAAAAAAA8L8CsHJoke1cIsAC/vZ14JxRG0AAAAAAGAAAAPz8APwAAgAAAAAAAPC/ArByaJHtXCLAAoBIv30duAJAAAAAABwABAD8/AD8AAIAAAAAAADwvwLvWkI+6PkkwAIPLbKd76f5PwAAAAAgAAAA/PwA/AACAAAAAAAA8L8Cn82qz9WWJ8ACx9y1hHzQAkAAAAAAIAD8APz8APwAAgAAAAAAAPC/AgAAAAAAACXAAu/Jw0Ktab4/AAAAAAEZAAQBZQQAAAAAAAAAAAQIAWUICAAAAAAAAAAEDAFlBAAAAAAAAAAACBABZQQAAAAAAAAAAAgUAWUEAAAAAAAAAAAMGAFlCAwAAAAAAAAAFBwBZQQAAAAAAAAAABQgAWUICAAAAAAAAAAYJAFlBAAAAAAAAAAAJCgBZQgMAAAAAAAAACgsAWUEAAAAAAAAAAAsMAFlBAAAAAAAAAAAMDQBZQgIAAAAAAAAADA4AWUEAAAAAAAAAAA0PAFlBAAAAAAAAAAANAEQAWUEAAAAAAAAAAA4AREBZQgIAAAAAAAAADwBEgFlCAAAAAAAAAAAPAETAWUEAAAAAAAAAAABEAEUAWUIDAAAAAAAAAABFAEVAWUEAAAAAAAAAAABFQEWAWUIAAAAAAAAAAABFQEXAWUEAAAAAAAAAAAYIAFlBAAAAAAAAAAAAREBFAFlBAAAAAAAAAAAAAAAAA==</t>
        </r>
      </text>
    </comment>
    <comment ref="A43" authorId="0" shapeId="0" xr:uid="{0A9179E5-CD8B-4BEB-AF59-3C423FBAAA5B}">
      <text>
        <r>
          <rPr>
            <sz val="9"/>
            <color indexed="81"/>
            <rFont val="Segoe UI"/>
            <charset val="1"/>
          </rPr>
          <t>Insight iXlW00001C0000043R0080105531S00000084P00824LAocjBAQBF1NjaVRlZ2ljLmRhdGEuTW9sZWN1bGUBbwF/ARJTY2lUZWdpYy5Nb2xlY3VsZQAAAQFkAv5qAQAAAAIAAiwBIwAAAPz8APwAAgAAAAAAAPC/AAAAAAAAGAAAAPz8APwAAgAAAAAAAPC/AuGcEaW9wfS/AmWqYFRSJ+i/AAAAABgAAAD8/AD8AAIAAAAAAADwvwLhnBGlvcH0vwKF61G4HgUCwAAAAAAYAAAA/PwA/AACAAAAAAAA8L8CqMZLN4nBBMAAAAAAACAAAAD8/AD8AAIAAAAAAADwvwACHxZqTfMOCMAAAAAAGAAAAPz8APwAAgAAAAAAAPC/AqjGSzeJwQTAAh8Wak3zDgjAAAAAABgAAAD8/AD8AAIAAAAAAADwvwIZldQJaCIPwAJlqmBUUifovwAAAAABIwAAAPz8APwAAgAAAAAAAPC/AqjGSzeJwQTAAoXrUbgeBRLAAAAAABgAAAD8/AD8AAIAAAAAAADwvwIZldQJaCIPwAKTqYJRSR0CwAAAAAAYAAAA/PwA/AACAAAAAAAA8L8CqMZLN4nBFMAAAAAAABwAAAD8/AD8AAIAAAAAAADwvwLgLZCg+PEZwAItsp3vp8bnPwAAAAAsAAQBZQQAAAAAAAAAAAQIAWUICAAAAAAAAAAEDAFlBAAAAAAAAAAACBABZQQAAAAAAAAAAAgUAWUEAAAAAAAAAAAMGAFlCAwAAAAAAAAAFBwBZQQAAAAAAAAAABQgAWUICAAAAAAAAAAYJAFlBAAAAAAAAAAAJCgBZQwAAAAAAAAAABggAWUEAAAAAAAAAAAAAAAA</t>
        </r>
      </text>
    </comment>
    <comment ref="A44" authorId="0" shapeId="0" xr:uid="{E7F74DEE-CA0B-4BAE-88F5-693A0AFDED38}">
      <text>
        <r>
          <rPr>
            <sz val="9"/>
            <color indexed="81"/>
            <rFont val="Segoe UI"/>
            <charset val="1"/>
          </rPr>
          <t>Insight iXlW00001C0000044R0080105531S00000086P01156LAocjBAQBF1NjaVRlZ2ljLmRhdGEuTW9sZWN1bGUBbwF/ARJTY2lUZWdpYy5Nb2xlY3VsZQAAAQFkAv5qAQAAAAIAAjwBIwAAAPz8APwAAgAAAAAAAPC/AAAAAAAAGAAAAPz8APwAAgAAAAAAAPC/AqwcWmQ73/S/Aiz2l92Th+e/AAAAABgAAAD8/AD8AAIAAAAAAADwvwLl8h/Sb98EwAIxKqkT0ESYPwAAAAAYAAAA/PwA/AACAAAAAAAA8L8COUVHcvkP9b8Cr7Zif9m9AcAAAAAAIAAAAPz8APwAAgAAAAAAAPC/AvOwUGua9wTAAgpoImx4evg/AAAAABwAAAD8/AD8AAIAAAAAAADwvwI7AU2EDU8PwALarPpcbcXmvwAAAAAcAAAA/PwA/AACAAAAAAAA8L8CtaZ5xyk6or8CSHL5D+m3B8AAAAAAGAAAAPz8APwAAgAAAAAAAPC/AvOwUGua9wTAAjq0yHa+nwfAAAAAABwAAAD8/AD8AAIAAAAAAADwvwJJv30dOGcPwAJaZDvfT40BwAAAAAAYAAAA/PwA/AACAAAAAAAA8L8CyQc9m1XfFMACMSqpE9BEqD8AAAAAGAAAAPz8APwAAgAAAAAAAPC/AuxRuB6F6xTAArMMcayL2/g/AAAAABgAAAD8/AD8AAIAAAAAAADwvwIQejarPhcawAKnCkYldQLmvwAAAAAYAAAA/PwA/AACAAAAAAAA8L8CF9nO91MjGsACOdbFbTSAAkAAAAAAGAAAAPz8APwAAgAAAAAAAPC/AjsBTYQNTx/AArWmeccpOrI/AAAAABgAAAD8/AD8AAIAAAAAAADwvwJCYOXQIlsfwAJcsb/snjz5PwAAAAABEAAEAWUEAAAAAAAAAAAECAFlBAAAAAAAAAAABAwBZQgIAAAAAAAAAAgQAWUIAAAAAAAAAAAIFAFlBAAAAAAAAAAADBgBZQQAAAAAAAAAAAwcAWUEAAAAAAAAAAAUIAFlBAAAAAAAAAAAFCQBZQQAAAAAAAAAACQoAWUIDAAAAAAAAAAkLAFlBAAAAAAAAAAAKDABZQQAAAAAAAAAACw0AWUICAAAAAAAAAAwOAFlCAgAAAAAAAAAHCABZQgIAAAAAAAAADQ4AWUEAAAAAAAAAAAAAAAA</t>
        </r>
      </text>
    </comment>
    <comment ref="A45" authorId="0" shapeId="0" xr:uid="{0A7E38EF-98EA-4AC2-9C54-AAE1CDDF554F}">
      <text>
        <r>
          <rPr>
            <sz val="9"/>
            <color indexed="81"/>
            <rFont val="Segoe UI"/>
            <charset val="1"/>
          </rPr>
          <t>Insight iXlW00001C0000045R0080105531S00000088P00996LAocjBAQBF1NjaVRlZ2ljLmRhdGEuTW9sZWN1bGUBbwF/ARJTY2lUZWdpYy5Nb2xlY3VsZQAAAQFkAv5qAQAAAAIAAjQBIwAAAPz8APwAAgAAAAAAAPC/AAAAAAAAGAAAAPz8APwAAgAAAAAAAPC/Ag6+MJkqGPU/AltCPujZrOi/AAAAABgAAAD8/AD8AAIAAAAAAADwvwIOvjCZKhj1PwJj7lpCPmgCwAAAAAAYAAAA/PwA/AACAAAAAAAA8L8CGQRWDi2yBEACFGHD0ytliT8AAAAAGAAAAPz8APwAAgAAAAAAAPC/AhkEVg4tsgRAAjj4wmSqYAjAAAAAABgAAAD8/AD8AAIAAAAAAADwvwIrqRPQRNgOQALswDkjSnvnvwAAAAAYAAAA/PwA/AACAAAAAAAA8L8CK6kT0ETYDkACCM4ZUdobAsAAAAAAHAAAAPz8APwAAgAAAAAAAPC/AjqSy39IfxRAAtzXgXNGFAjAAAAAABgAAAD8/AD8AAIAAAAAAADwvwLDZKpgVJIZQAKsrdhfds8BwAAAAAAgAAAA/PwA/AACAAAAAAAA8L8CyQc9m1VfGUACirDh6ZWy5L8AAAAAHAAAAPz8APwAAgAAAAAAAPC/Akw3iUFgpR5AAoG3QILixwfAAAAAABgAAAD8/AD8AAIAAAAAAADwvwJ5eqUsQ9whQAJQjZduEoMBwAAAAAAYAAAA/PwA/AACAAAAAAAA8L8CbsX+sntyHkACrK3YX3bPEcAAAAAANAAEAWUEAAAAAAAAAAAECAFlCAwAAAAAAAAABAwBZQQAAAAAAAAAAAgQAWUEAAAAAAAAAAAMFAFlCAgAAAAAAAAAEBgBZQgMAAAAAAAAABgcAWUEAAAAAAAAAAAcIAFlBAAAAAAAAAAAICQBZQgAAAAAAAAAACAoAWUEAAAAAAAAAAAoLAFlBAAAAAAAAAAAKDABZQQAAAAAAAAAABQYAWUEAAAAAAAAAAAAAAAA</t>
        </r>
      </text>
    </comment>
    <comment ref="A46" authorId="0" shapeId="0" xr:uid="{BAE149AE-91B2-4850-A7A2-91E1675AD79D}">
      <text>
        <r>
          <rPr>
            <sz val="9"/>
            <color indexed="81"/>
            <rFont val="Segoe UI"/>
            <charset val="1"/>
          </rPr>
          <t>Insight iXlW00001C0000046R0080105531S00000090P01544LAocjBAQBF1NjaVRlZ2ljLmRhdGEuTW9sZWN1bGUBbwF/ARJTY2lUZWdpYy5Nb2xlY3VsZQAAAQFkAv5qAQAAAAIAAgEVAREAAAD8/AD8AAIAAAAAAADwvwAAAAAAABgAAAD8/AD8AAIAAAAAAADwvwKYbhKDwMr0vwKpNc07TtHnvwAAAAAYAAAA/PwA/AACAAAAAAAA8L8CmG4Sg8DKBMAAAAAAACAAAAD8/AD8AAIAAAAAAADwvwKYbhKDwMoEwAJTBaOSOgH4PwAAAAAcAAAA/PwA/AACAAAAAAAA8L8C5KWbxCAwD8ACqTXNO07R578AAAAAGAAAAPz8APwAAgAAAAAAAPC/AphuEoPAyhTAAAAAAAAYAAAA/PwA/AACAAAAAAAA8L8C5KWbxCAwD8ACFNBE2PD0AcAAAAAAGAAAAPz8APwAAgAAAAAAAPC/AphuEoPAyhTAAlMFo5I6Afg/AAAAABgAAAD8/AD8AAIAAAAAAADwvwI+CtejcP0ZwALgLZCg+DHovwAAAAAgAAAA/PwA/AACAAAAAAAA8L8CmG4Sg8DKBMACRkdy+Q/pB8AAAAAAGAAAAPz8APwAAgAAAAAAAPC/Aj4K16Nw/RnAAhTQRNjw9AFAAAAAABgAAAD8/AD8AAIAAAAAAADwvwLkpZvEIDAPwAIU0ETY8PQBQAAAAAAYAAAA/PwA/AACAAAAAAAA8L8C5KWbxCAwH8AC7Q2+MJkqiL8AAAAAGAAAAPz8APwAAgAAAAAAAPC/Aj4K16Nw/RnAAiKOdXEbDQLAAAAAABgAAAD8/AD8AAIAAAAAAADwvwKYbhKDwMoEwAIU0ETY8PQRwAAAAAAYAAAA/PwA/AACAAAAAAAA8L8C5KWbxCAwH8ACUwWjkjoB+D8AAAAAGAAAAPz8APwAAgAAAAAAAPC/AuSlm8QgMA/AAr5SliGO9Q1AAAAAABgAAAD8/AD8AAIAAAAAAADwvwLkpZvEIDAfwAJTBaOSOgEIwAAAAAAYAAAA/PwA/AACAAAAAAAA8L8CmG4Sg8DK9L8CtOpztRX7FMAAAAAAGAAAAPz8APwAAgAAAAAAAPC/AphuEoPAyvS/AgmsHFpk+xrAAAAAABgAAAD8/AD8AAIAAAAAAADwvwACxbEubqMBHsAAAAAAARUABAFlBAAAAAAAAAAABAgBZQQAAAAAAAAAAAgMAWUIAAAAAAAAAAAIEAFlBAAAAAAAAAAAEBQBZQQAAAAAAAAAABAYAWUEAAAAAAAAAAAUHAFlCAwAAAAAAAAAFCABZQQAAAAAAAAAABgkAWUEAAAAAAAAAAAcKAFlBAAAAAAAAAAAHCwBZQQAAAAAAAAAACAwAWUICAAAAAAAAAAgNAFlBAAAAAAAAAAAJDgBZQQAAAAAAAAAACg8AWUICAAAAAAAAAAsARABZQQAAAAAAAAAADQBEQFlBAAAAAAAAAAAOAESAWUEAAAAAAAAAAABEgETAWUEAAAAAAAAAAABEwEUAWUEAAAAAAAAAAAwPAFlBAAAAAAAAAAAAAAAAA==</t>
        </r>
      </text>
    </comment>
    <comment ref="A47" authorId="0" shapeId="0" xr:uid="{8C3CB994-236D-4985-B338-D303725BD4B7}">
      <text>
        <r>
          <rPr>
            <sz val="9"/>
            <color indexed="81"/>
            <rFont val="Segoe UI"/>
            <charset val="1"/>
          </rPr>
          <t>Insight iXlW00001C0000047R0080105531S00000092P02400LAocjBAQBF1NjaVRlZ2ljLmRhdGEuTW9sZWN1bGUBbwF/ARJTY2lUZWdpYy5Nb2xlY3VsZQAAAQFkAv5qAQAAAAIAAgEgAREAAAD8/AD8AAIAAAAAAADwvwAAAAAAABgAAAD8/AD8AAIAAAAAAADwvwKFDU+vlGX0vwI7AU2EDU/pvwAAAAAYAAAA/PwA/AACAAAAAAAA8L8CFR3J5T+k878CUrgehetRAsAAAAAAGAAAAPz8APwAAgAAAAAAAPC/AvXb14FzxgTAAjBMpgpGJbW/AAAAABgAAAD8/AD8AAIAAAAAAADwvwLtDb4wmSq4PwI/xty1hPwHwAAAAAAYAAAA/PwA/AACAAAAAAAA8L8ChetRuB4FBMACofgx5q6lCMAAAAAAGAAAAPz8APwAAgAAAAAAAPC/AvA4RUdy+Q7AAsHKoUW28+u/AAAAACAAAAD8/AD8AAIAAAAAAADwvwLUmuYdp+j1PwLxhclUwagBwAAAAAAgAAAA/PwA/AACAAAAAAAA8L8CcoqO5PIfwj8CIR/0bFb9EcAAAAAAGAAAAPz8APwAAgAAAAAAAPC/An9qvHSTmA7AArTqc7UV+wLAAAAAABgAAAD8/AD8AAIAAAAAAADwvwKze/KwUGv3PwL8OnDOiNIUwAAAAAAcAAAA/PwA/AACAAAAAAAA8L8CveMUHcllFMACAiuHFtlOCcAAAAAAGAAAAPz8APwAAgAAAAAAAPC/AtSa5h2n6AVAAtSa5h2nqBHAAAAAABgAAAD8/AD8AAIAAAAAAADwvwIofoy5awkCQAJ56SYxCOwZwAAAAAAYAAAA/PwA/AACAAAAAAAA8L8ClBgEVg4t6D8ClWWIY10cGsAAAAAAGAAAAPz8APwAAgAAAAAAAPC/AqFns+pzNRTAAoNRSZ2AphLAAAAAABgAAAD8/AD8AAIAAAAAAADwvwJWDi2yna8ZwAJO845TdKQDwAAAAAAgAAAA/PwA/AACAAAAAAAA8L8CZMxdS8iHBUACpb3BFyZTB8AAAAAAIAAAAPz8APwAAgAAAAAAAPC/AueMKO0NPhBAAsuhRbbzfRTAAAAAACAAAAD8/AD8AAIAAAAAAADwvwIQejarPtcNwAJ6WKg1zXsVwAAAAAAcAAAA/PwA/AACAAAAAAAA8L8CAiuHFtlOGcACqvHSTWLQFcAAAAAAIAAAAPz8APwAAgAAAAAAAPC/AnKKjuTy3xnAAkeU9gZfmO6/AAAAABgAAAD8/AD8AAIAAAAAAADwvwK40QDeAskewAJkXdxGA/gJwAAAAAAYAAAA/PwA/AACAAAAAAAA8L8CZTvfT41XFUACpAG8BRJUEcAAAAAAGAAAAPz8APwAAgAAAAAAAPC/ApxVn6utmB7AAtDVVuwv+xLAAAAAABgAAAD8/AD8AAIAAAAAAADwvwLnriXkgx4ZwAKsrdhfds8bwAAAAAAYAAAA/PwA/AACAAAAAAAA8L8C4noUrkehGkACmggbnl4pFMAAAAAAGAAAAPz8APwAAgAAAAAAAPC/An6MuWsJ2SHAAtuK/WX3JBbAAAAAABgAAAD8/AD8AAIAAAAAAADwvwJfKcsQx7ofQAJzaJHtfP8QwAAAAAAkAAAA/PwA/AACAAAAAAAA8L8Cy6FFtvN9JMACAW+BBMVPE8AAAAAAJAAAAPz8APwAAgAAAAAAAPC/AnDOiNLewCHAAvkx5q4lJBzAAAAAACQAAAD8/AD8AAIAAAAAAADwvwK94xQdyWUkwAICK4cW2U4ZwAAAAAABIQAEAWUEAAAAAAAAAAAECAFlCAgAAAAAAAAABAwBZQQAAAAAAAAAAAgQAWUEAAAAAAAAAAAIFAFlBAAAAAAAAAAADBgBZQgIAAAAAAAAABAcAWUIAAAAAAAAAAAQIAFlBAAAAAAAAAAAFCQBZQgMAAAAAAAAACAoAWUEAAAAAAAAAAAkLAFlBAAAAAAAAAAAKDABZQQAAAAAAAAAACg0AWUEAAAAAAAAAAAoOAFlBAAAAAAAAAAALDwBZQQAAAAAAAAAACwBEAFlBAAAAAAAAAAAMAERAWUIAAAAAAAAAAAwARIBZQQAAAAAAAAAADwBEwFlCAAAAAAAAAAAPAEUAWUEAAAAAAAAAAABEAEVAWUIAAAAAAAAAAABEAEWAWUEAAAAAAAAAAABEgEXAWUEAAAAAAAAAAABFAEYAWUEAAAAAAAAAAABFAEZAWUEAAAAAAAAAAABFwEaAWUEAAAAAAAAAAABGAEbAWUEAAAAAAAAAAABGgEcAWUIAAAAAAAAAAABGwEdAWUEAAAAAAAAAAABGwEeAWUEAAAAAAAAAAABGwEfAWUEAAAAAAAAAAAYJAFlBAAAAAAAAAAAARYBGAFlCAgAAAAAAAAAAAAAAA==</t>
        </r>
      </text>
    </comment>
    <comment ref="A48" authorId="0" shapeId="0" xr:uid="{C87C2937-4E60-47F2-A5FB-3E32770A550E}">
      <text>
        <r>
          <rPr>
            <sz val="9"/>
            <color indexed="81"/>
            <rFont val="Segoe UI"/>
            <charset val="1"/>
          </rPr>
          <t>Insight iXlW00001C0000048R0080105531S00000094P01572LAocjBAQBF1NjaVRlZ2ljLmRhdGEuTW9sZWN1bGUBbwF/ARJTY2lUZWdpYy5Nb2xlY3VsZQAAAQFkAv5qAQAAAAIAAgEVARAAAAD8/AD8AAIAAAAAAADwvwAAAAAAADwAAAD8/AD8AAIAAAAAAADwvwKl374OnDPovwLrc7UV+8v0PwAAAAAgAAAA/PwA/AACAAAAAAAA8L8C33GKjuRyAMACE2HD0ytl4T8AAAAAIAAAAPz8APwAAgAAAAAAAPC/Ahi30QDeAvi/AiRKe4MvzARAAAAAABwAAAD8/AD8AAIAAAAAAADwvwITYcPTK2XhPwLRs1n1uVoAQAAAAAAYAAAA/PwA/AACAAAAAAAA8L8C1CtlGeLYCsAC63O1FfvL9D8AAAAAGAAAAPz8APwAAgAAAAAAAPC/AqXfvg6cM+i/AhkEVg4tMg9AAAAAABgAAAD8/AD8AAIAAAAAAADwvwJ1JJf/kH79PwLrc7UV+8v0PwAAAAAYAAAA/PwA/AACAAAAAAAA8L8CAd4CCYqfEsACE2HD0ytl4T8AAAAAGAAAAPz8APwAAgAAAAAAAPC/AtQrZRni2ArAArprCfmgZwZAAAAAABgAAAD8/AD8AAIAAAAAAADwvwIYt9EA3gL4vwIkSnuDL8wUQAAAAAAYAAAA/PwA/AACAAAAAAAA8L8CMEymCkYlCUAC0bNZ9blaAEAAAAAAGAAAAPz8APwAAgAAAAAAAPC/AnUkl/+Qfv0/AmYZ4lgXt8m/AAAAABwABAD8/AD8AAIAAAAAAADwvwIB3gIJip8SwAL+ZffkYaHuvwAAAAAYAAAA/PwA/AACAAAAAAAA8L8C/DpwzojSF8AC63O1FfvL9D8AAAAAGAAAAPz8APwAAgAAAAAAAPC/AgHeAgmKnxLAAl2PwvUoXAxAAAAAABgAAAD8/AD8AAIAAAAAAADwvwIvbqMBvMURQALrc7UV+8v0PwAAAAAgAAAA/PwA/AACAAAAAAAA8L8C/DpwzojSF8ACRPrt68A5+78AAAAAIAD8APz8APwAAgAAAAAAAPC/AtQrZRni2ArAAkT67evAOfu/AAAAABgAAAD8/AD8AAIAAAAAAADwvwL8OnDOiNIXwAK6awn5oGcGQAAAAAAYAAAA/PwA/AACAAAAAAAA8L8CAd4CCYqfEsACdLUV+8suFEAAAAAAARUABAFlCAAAAAAAAAAABAgBZQQAAAAAAAAAAAQMAWUEAAAAAAAAAAAEEAFlBAAAAAAAAAAACBQBZQQAAAAAAAAAAAwYAWUEAAAAAAAAAAAQHAFlBAAAAAAAAAAAFCABZQgIAAAAAAAAABQkAWUEAAAAAAAAAAAYKAFlBAAAAAAAAAAAHCwBZQQAAAAAAAAAABwwAWUEAAAAAAAAAAAgNAFlBAAAAAAAAAAAIDgBZQQAAAAAAAAAACQ8AWUIDAAAAAAAAAAsARABZQQAAAAAAAAAADQBEQFlCAAAAAAAAAAANAESAWUEAAAAAAAAAAA4ARMBZQgIAAAAAAAAADwBFAFlBAAAAAAAAAAAPAETAWUEAAAAAAAAAAAAAAAA</t>
        </r>
      </text>
    </comment>
    <comment ref="A49" authorId="0" shapeId="0" xr:uid="{EC9CCD25-DA3B-47D4-AC63-5D87BF38A80E}">
      <text>
        <r>
          <rPr>
            <sz val="9"/>
            <color indexed="81"/>
            <rFont val="Segoe UI"/>
            <charset val="1"/>
          </rPr>
          <t>Insight iXlW00001C0000049R0080105531S00000096P01576LAocjBAQBF1NjaVRlZ2ljLmRhdGEuTW9sZWN1bGUBbwF/ARJTY2lUZWdpYy5Nb2xlY3VsZQAAAQFkAv5qAQAAAAIAAgEVAREAAAD8/AD8AAIAAAAAAADwvwAAAAAAABgAAAD8/AD8AAIAAAAAAADwvwJANV66SQz1vwLy0k1iEFjnvwAAAAAYAAAA/PwA/AACAAAAAAAA8L8CeAskKH4MBcACt2J/2T15mD8AAAAAIAAAAPz8APwAAgAAAAAAAPC/Aj4K16NwPQXAAgJNhA1Pr/g/AAAAABwAAAD8/AD8AAIAAAAAAADwvwIYJlMFo5IPwALc14FzRpTmvwAAAAAYAAAA/PwA/AACAAAAAAAA8L8CeAskKH4MFcACt2J/2T15qD8AAAAAGAAAAPz8APwAAgAAAAAAAPC/At4kBoGVww/AAu/Jw0KtaQHAAAAAABgAAAD8/AD8AAIAAAAAAADwvwLbiv1l9yQVwAKMSuoENBH5PwAAAAAYAAAA/PwA/AACAAAAAAAA8L8CyJi7lpBPGsAC4C2QoPgx5r8AAAAAIAAAAPz8APwAAgAAAAAAAPC/AskHPZtVnwXAAuQUHcnlPwfAAAAAABgAAAD8/AD8AAIAAAAAAADwvwIrGJXUCWgawAJHA3gLJKgCQAAAAAAYAAAA/PwA/AACAAAAAAAA8L8CUPwYc9cSEMACRwN4CySoAkAAAAAAGAAAAPz8APwAAgAAAAAAAPC/AhgmUwWjkh/AAnYCmggbnq4/AAAAABgAAAD8/AD8AAIAAAAAAADwvwIrGJXUCWgawAKpNc07TlEBwAAAAAAYAAAA/PwA/AACAAAAAAAA8L8Cx9y1hHzQBcACbjSAt0CCEcAAAAAAGAAAAPz8APwAAgAAAAAAAPC/ApeQD3o2qx/AAhUdyeU/pPk/AAAAABgAAAD8/AD8AAIAAAAAAADwvwKze/KwUCsQwALKVMGopM4OQAAAAAAYAAAA/PwA/AACAAAAAAAA8L8Cl5APejarH8ACZapgVFInB8AAAAAAGAAAAPz8APwAAgAAAAAAAPC/AmN/2T15WPe/AgwkKH6MeRTAAAAAABgAAAD8/AD8AAIAAAAAAADwvwLufD81Xrr3vwIIzhlR2lsawAAAAAAYAAAA/PwA/AACAAAAAAAA8L8C0ETY8PRKBsACyQc9m1VfHcAAAAAAARUABAFlBAAAAAAAAAAABAgBZQQAAAAAAAAAAAgMAWUIAAAAAAAAAAAIEAFlBAAAAAAAAAAAEBQBZQQAAAAAAAAAABAYAWUEAAAAAAAAAAAUHAFlCAwAAAAAAAAAFCABZQQAAAAAAAAAABgkAWUEAAAAAAAAAAAcKAFlBAAAAAAAAAAAHCwBZQQAAAAAAAAAACAwAWUICAAAAAAAAAAgNAFlBAAAAAAAAAAAJDgBZQQAAAAAAAAAACg8AWUICAAAAAAAAAAsARABZQQAAAAAAAAAADQBEQFlBAAAAAAAAAAAOAESAWUEAAAAAAAAAAABEgETAWUICAAAAAAAAAABEwEUAWUEAAAAAAAAAAAwPAFlBAAAAAAAAAAAAAAAAA==</t>
        </r>
      </text>
    </comment>
    <comment ref="A50" authorId="0" shapeId="0" xr:uid="{DB273EA0-DFEF-4331-B35B-CC91DF90CB54}">
      <text>
        <r>
          <rPr>
            <sz val="9"/>
            <color indexed="81"/>
            <rFont val="Segoe UI"/>
            <charset val="1"/>
          </rPr>
          <t>Insight iXlW00001C0000050R0080105531S00000098P01528LAocjBAQBF1NjaVRlZ2ljLmRhdGEuTW9sZWN1bGUBbwF/ARJTY2lUZWdpYy5Nb2xlY3VsZQAAAQFkAv5qAQAAAAIAAgEVIAAAAPz8APwAAgAAAAAAAPC/AAAAAAAAHAAEAPz8APwAAgAAAAAAAPC/AALiWBe30QD4vwAAAAAgAPwA/PwA/AACAAAAAAAA8L8CJ8KGp1fK9D8CoyO5/If0AcAAAAAAGAAAAPz8APwAAgAAAAAAAPC/AifChqdXyvS/AqMjufyH9AHAAAAAABgAAAD8/AD8AAIAAAAAAADwvwInwoanV8r0vwLc+X5qvPQNwAAAAAAYAAAA/PwA/AACAAAAAAAA8L8C7uvAOSPKBMAC4lgXt9EA+L8AAAAAHAAAAPz8APwAAgAAAAAAAPC/AAKOl24SgwASwAAAAAAYAAAA/PwA/AACAAAAAAAA8L8C7uvAOSPKBMACjpduEoMAEsAAAAAAGAAAAPz8APwAAgAAAAAAAPC/AgJNhA1PLw/AAqMjufyH9AHAAAAAABgMAAD8/AD8AAIAAAAAAADwvwACxm00gLcAGMAAAAAAHAAEAPz8APwAAgAAAAAAAPC/Au7rwDkjygTAAsZtNIC3ABjAAAAAABgAAAD8/AD8AAIAAAAAAADwvwICTYQNTy8PwALc+X5qvPQNwAAAAAAYAAAA/PwA/AACAAAAAAAA8L8CC9ejcD3KFMAC4lgXt9EA+L8AAAAAGAAAAPz8APwAAgAAAAAAAPC/AifChqdXyvQ/Al8pyxDH+hrAAAAAABgAAAD8/AD8AAIAAAAAAADwvwInwoanV8r0PwImUwWjkvoUwAAAAAAgAAAA/PwA/AACAAAAAAAA8L8CAk2EDU8vD8ACZohjXdwGG8AAAAAAIAD8APz8APwAAgAAAAAAAPC/AifChqdXyvS/Al8pyxDH+hrAAAAAABgAAAD8/AD8AAIAAAAAAADwvwIL16NwPcoUwAAAAAAAGAAAAPz8APwAAgAAAAAAAPC/AnicoiO5/BnAAqMjufyH9AHAAAAAABgAAAD8/AD8AAIAAAAAAADwvwJ4nKIjufwZwALH3LWEfNDnvwAAAAAYAAAA/PwA/AACAAAAAAAA8L8CJ8KGp1fK9D8CzH9Iv319IMAAAAAAARUABAFlCAAAAAAAAAAABAgBZQQAAAAAAAAAAAQMAWUEAAAAAAAAAAAMEAFlCAgAAAAAAAAADBQBZQQAAAAAAAAAABAYAWUEAAAAAAAAAAAQHAFlBAAAAAAAAAAAFCABZQgMAAAAAAAAABgkAWUEAAAAAAAAAAAcKAFlBAAAAAAAAAAAHCwBZQgIAAAAAAAAACAwAWUEAAAAAAAAAAAkNAFlBAAAAAAAAAAAJDgBZQQUAAAAAAAAACg8AWUIAAAAAAAAAAAoARABZQQAAAAAAAAAADABEQFlBAAAAAAAAAAAMAESAWUEAAAAAAAAAAAwARMBZQQAAAAAAAAAADQBFAFlBAAAAAAAAAAAICwBZQQAAAAAAAAAAAAAAAA=</t>
        </r>
      </text>
    </comment>
    <comment ref="A51" authorId="0" shapeId="0" xr:uid="{D8DD36D9-9322-47A9-87E7-4D21ACD643FB}">
      <text>
        <r>
          <rPr>
            <sz val="9"/>
            <color indexed="81"/>
            <rFont val="Segoe UI"/>
            <charset val="1"/>
          </rPr>
          <t>Insight iXlW00001C0000051R0080105531S00000100P02168LAocjBAQBF1NjaVRlZ2ljLmRhdGEuTW9sZWN1bGUBbwF/ARJTY2lUZWdpYy5Nb2xlY3VsZQAAAQFkAv5qAQAAAAIAAgEdIAAAAPz8APwAAgAAAAAAAPC/AAAAAAAAGAAAAPz8APwAAgAAAAAAAPC/Ar10kxgEVvS/ArprCfmgZ+c/AAAAABgAAAD8/AD8AAIAAAAAAADwvwLByqFFtvPzvwIE54wo7Y0BQAAAAAAYAAAA/PwA/AACAAAAAAAA8L8CuR6F61G4BMAAAAAAABgAAAD8/AD8AAIAAAAAAADwvwK7SQwCK4cEwAJvgQTFj7EHQAAAAAAYAAAA/PwA/AACAAAAAAAA8L8CKxiV1Alosj8Cc9cS8kFPB0AAAAAAGAwAAPz8APwAAgAAAAAAAPC/AhODwMqhRQ/AAqoT0ETY8Og/AAAAACAAAAD8/AD8AAIAAAAAAADwvwK5HoXrUbgEwAKkcD0K1+MRQAAAAAAYAAAA/PwA/AACAAAAAAAA8L8CFa5H4XoUD8ACAJF++zrwAUAAAAAAHAAAAPz8APwAAgAAAAAAAPC/Aum3rwPnjLg/AsSxLm6jgRFAAAAAABgAAAD8/AD8AAIAAAAAAADwvwKwcmiR7Xz1PwIE54wo7Y0BQAAAAAAYAAAA/PwA/AACAAAAAAAA8L8Cmggbnl7pFMAC+n5qvHSTqD8AAAAAIAAAAPz8APwAAgAAAAAAAPC/AjPEsS5uo/Y/AjzfT42XbhRAAAAAABgAAAD8/AD8AAIAAAAAAADwvwK38/3UeOkEQAJvgQTFj7EHQAAAAAAYAAAA/PwA/AACAAAAAAAA8L8Cx7q4jQYwGsACnRGlvcEX6j8AAAAAGAAAAPz8APwAAgAAAAAAAPC/Ato9eVio9RTAAintDb4wmfe/AAAAABgAAAD8/AD8AAIAAAAAAADwvwIvbqMBvAX3PwJGJXUCmkgaQAAAAAAYAAAA/PwA/AACAAAAAAAA8L8C9WxWfa52H8ACuR6F61G4rj8AAAAAGAAAAPz8APwAAgAAAAAAAPC/AoiFWtO8IxrAAsE5I0p7gwJAAAAAABgAAAD8/AD8AAIAAAAAAADwvwIH8BZIUDwawAKBJsKGp9cBwAAAAAAYAAAA/PwA/AACAAAAAAAA8L8CV+wvuyePD8ACgSbChqfXAcAAAAAAGAAAAPz8APwAAgAAAAAAAPC/AnIbDeAtEAZAAn4dOGdEKR1AAAAAABgAAAD8/AD8AAIAAAAAAADwvwI0orQ3+IIfwAIrGJXUCWj3vwAAAAAYAAAA/PwA/AACAAAAAAAA8L8CUdobfGFSIsACnRGlvcEX6j8AAAAAGAAAAPz8APwAAgAAAAAAAPC/ApEPejarXiLAAoNRSZ2ApgHAAAAAACAAAAD8/AD8AAIAAAAAAADwvwJR2ht8YVIiwALBOSNKe4MCQAAAAAAYAAAA/PwA/AACAAAAAAAA8L8CKH6MuWvpJMACuR6F61G4rj8AAAAAGAAAAPz8APwAAgAAAAAAAPC/Av8h/fZ1gCfAAp0Rpb3BF+o/AAAAABgAAAD8/AD8AAIAAAAAAADwvwLXxW00gBcqwAK5HoXrUbiuPwAAAAABHgAEAWUIAAAAAAAAAAAECAFlBAAAAAAAAAAABAwBZQQAAAAAAAAAAAgQAWUIDAAAAAAAAAAIFAFlBAAAAAAAAAAADBgBZQQAAAAAAAAAABAcAWUEAAAAAAAAAAAQIAFlBAAAAAAAAAAAFCQBZQgMAAAAAAAAABQoAWUEAAAAAAAAAAAYLAFlBBQAAAAAAAAAJDABZQQAAAAAAAAAACg0AWUEAAAAAAAAAAAsOAFlCAwAAAAAAAAALDwBZQQAAAAAAAAAADABEAFlBAAAAAAAAAAAOAERAWUEAAAAAAAAAAA4ARIBZQQAAAAAAAAAADwBEwFlCAgAAAAAAAAAPAEUAWUEAAAAAAAAAAABEAEVAWUEAAAAAAAAAAABEQEWAWUIDAAAAAAAAAABEQEXAWUEAAAAAAAAAAABFgEYAWUEAAAAAAAAAAABFwEZAWUIAAAAAAAAAAABFwEaAWUEAAAAAAAAAAABGgEbAWUEAAAAAAAAAAABGwEcAWUEAAAAAAAAAAAYIAFlBAAAAAAAAAAAARMBFgFlBAAAAAAAAAAAAAAAAA==</t>
        </r>
      </text>
    </comment>
    <comment ref="A52" authorId="0" shapeId="0" xr:uid="{23B2388E-309F-478B-BBC0-7F1389FC21C5}">
      <text>
        <r>
          <rPr>
            <sz val="9"/>
            <color indexed="81"/>
            <rFont val="Segoe UI"/>
            <charset val="1"/>
          </rPr>
          <t>Insight iXlW00001C0000052R0080105531S00000102P01212LAocjBAQBF1NjaVRlZ2ljLmRhdGEuTW9sZWN1bGUBbwF/ARJTY2lUZWdpYy5Nb2xlY3VsZQAAAQFkAv5qAQAAAAIAAgEQAREAAAD8/AD8AAIAAAAAAADwvwAAAAAAABgAAAD8/AD8AAIAAAAAAADwvwLNXUvIBz31PwL0bFZ9rrbovwAAAAAYAAAA/PwA/AACAAAAAAAA8L8COrTIdr6f9T8COGdEaW9wAsAAAAAAGAAAAPz8APwAAgAAAAAAAPC/AmAHzhlR2gRAAoG3QILix4i/AAAAABgAAAD8/AD8AAIAAAAAAADwvwKWsgxxrAsFQAI/V1uxv2wIwAAAAAAYAAAA/PwA/AACAAAAAAAA8L8CoYmw4ekVD0ACFmpN845T6L8AAAAAGAAAAPz8APwAAgAAAAAAAPC/Atc07zhFRw9AAoEmwoanVwLAAAAAABwAAAD8/AD8AAIAAAAAAADwvwKoxks3icEUQAKHFtnO91MIwAAAAAAYAAAA/PwA/AACAAAAAAAA8L8CyQc9m1XfGUACyeU/pN8+AsAAAAAAIAAAAPz8APwAAgAAAAAAAPC/Ai2yne+nxhlAAhvAWyBB8ee/AAAAABwAAAD8/AD8AAIAAAAAAADwvwIFNBE2PP0eQALQ1VbsLzsIwAAAAAAYDAAA/PwA/AACAAAAAAAA8L8CkzoBTYQNIkACSnuDL0wmAsAAAAAAGAAAAPz8APwAAgAAAAAAAPC/Ak7zjlN05B5AApM6AU2EDRLAAAAAABgAAAD8/AD8AAIAAAAAAADwvwJ/+zpwzqgkQAIYldQJaCIIwAAAAAAYAAAA/PwA/AACAAAAAAAA8L8CZapgVFIHIkAC9GxWfa626L8AAAAAGAAAAPz8APwAAgAAAAAAAPC/Amu8dJMYRCdAAh+F61G4Hg7AAAAAAAEQAAQBZQQAAAAAAAAAAAQIAWUIDAAAAAAAAAAEDAFlBAAAAAAAAAAACBABZQQAAAAAAAAAAAwUAWUICAAAAAAAAAAQGAFlCAwAAAAAAAAAGBwBZQQAAAAAAAAAABwgAWUEAAAAAAAAAAAgJAFlCAAAAAAAAAAAICgBZQQAAAAAAAAAACgsAWUEAAAAAAAAAAAoMAFlBAAAAAAAAAAALDQBZQQAAAAAAAAAACw4AWUEEAAAAAAAAAA0PAFlDAAAAAAAAAAAFBgBZQQAAAAAAAAAAAAAAAA=</t>
        </r>
      </text>
    </comment>
    <comment ref="A53" authorId="0" shapeId="0" xr:uid="{110D15A2-413C-479C-BE10-5B469D94D00F}">
      <text>
        <r>
          <rPr>
            <sz val="9"/>
            <color indexed="81"/>
            <rFont val="Segoe UI"/>
            <charset val="1"/>
          </rPr>
          <t>Insight iXlW00001C0000053R0080105531S00000104P01052LAocjBAQBF1NjaVRlZ2ljLmRhdGEuTW9sZWN1bGUBbwF/ARJTY2lUZWdpYy5Nb2xlY3VsZQAAAQFkAv5qAQAAAAIAAjgBEAAAAPz8APwAAgAAAAAAAPC/AAAAAAAAGAAAAPz8APwAAgAAAAAAAPC/AkA1XrpJDPW/AgR4CyQofug/AAAAABgAAAD8/AD8AAIAAAAAAADwvwK5jQbwFkj0PwIEeAskKH7oPwAAAAAgAAAA/PwA/AACAAAAAAAA8L8CyzLEsS5u9b8CS1mGONZFAkAAAAAAHAAAAPz8APwAAgAAAAAAAPC/AgdfmEwVDAXAAhpR2ht8YaI/AAAAABgAAAD8/AD8AAIAAAAAAADwvwLyY8xdS0gEQAIaUdobfGGiPwAAAAAYAAAA/PwA/AACAAAAAAAA8L8Cp3nHKTqSD8ACM8SxLm6j6T8AAAAAGAAAAPz8APwAAgAAAAAAAPC/AgU0ETY8PQXAAmfV52or9va/AAAAABgAAAD8/AD8AAIAAAAAAADwvwLiehSuR2EPwAJJLv8h/XYCQAAAAAAYAAAA/PwA/AACAAAAAAAA8L8CbXh6pSzDD8ACOIlBYOVQAcAAAAAAGAAAAPz8APwAAgAAAAAAAPC/AsHKoUW28wTAAsuhRbbzfQhAAAAAABgAAAD8/AD8AAIAAAAAAADwvwJCYOXQItsUwAISNjy9UpYIQAAAAAAYAAAA/PwA/AACAAAAAAAA8L8CR5T2Bl8YFcACayv2l92T9r8AAAAAGAAAAPz8APwAAgAAAAAAAPC/AuziNhrA2w/AAvXb14FzRg3AAAAAADQABAFlBAAAAAAAAAAAAAgBZQQAAAAAAAAAAAQMAWUIAAAAAAAAAAAEEAFlBAAAAAAAAAAACBQBZQQAAAAAAAAAABAYAWUEAAAAAAAAAAAQHAFlBAAAAAAAAAAAGCABZQQAAAAAAAAAABwkAWUEAAAAAAAAAAAgKAFlBAAAAAAAAAAAICwBZQQAAAAAAAAAACQwAWUEAAAAAAAAAAAkNAFlBAAAAAAAAAAAAAAAAA==</t>
        </r>
      </text>
    </comment>
    <comment ref="A54" authorId="0" shapeId="0" xr:uid="{D3C95D5C-21F2-441F-B034-5D7C2806B0E7}">
      <text>
        <r>
          <rPr>
            <sz val="9"/>
            <color indexed="81"/>
            <rFont val="Segoe UI"/>
            <charset val="1"/>
          </rPr>
          <t>Insight iXlW00001C0000054R0080105531S00000106P00808LAocjBAQBF1NjaVRlZ2ljLmRhdGEuTW9sZWN1bGUBbwF/ARJTY2lUZWdpYy5Nb2xlY3VsZQAAAQFkAv5qAQAAAAIAAiwBIQAAAPz8APwAAgAAAAAAAPC/AAAAAAAAIAAAAPz8APwAAgAAAAAAAPC/AobJVMGopPe/Avyp8dJNYtC/AAAAACAA/AD8/AD8AAIAAAAAAADwvwKGyVTBqKT3PwL8qfHSTWLQPwAAAAAgAPwA/PwA/AACAAAAAAAA8L8C8kHPZtXn7j8CyzLEsS5u8r8AAAAAGAAAAPz8APwAAgAAAAAAAPC/Avyp8dJNYuA/AkqdgCbChvY/AAAAAAEhAAAA/PwA/AACAAAAAAAA8L8Ct2J/2T05FUACrBxaZDvf4b8AAAAAIAAAAPz8APwAAgAAAAAAAPC/AgmKH2Pu2hpAAlTjpZvEIPG/AAAAACAA/AD8/AD8AAIAAAAAAADwvwLJdr6fGi8PQAICK4cW2c6nvwAAAAAgAPwA/PwA/AACAAAAAAAA8L8CF0hQ/BgzFEACYHZPHhZq7T8AAAAAGAAAAPz8APwAAgAAAAAAAPC/AuhqK/aXnRBAAk+vlGWIY/i/AAAAAAEUAAgA/PwA/AACAAAAAAAA8L8C71pCPujZ9D8CqvHSTWIQCsAAAAAAIAAEAWUIAAAAAAAAAAAACAFlBAAAAAAAAAAAAAwBZQQAAAAAAAAAAAAQAWUEAAAAAAAAAAAUGAFlCAAAAAAAAAAAFBwBZQQAAAAAAAAAABQgAWUEAAAAAAAAAAAUJAFlBAAAAAAAAAAAAAAAAA==</t>
        </r>
      </text>
    </comment>
    <comment ref="A55" authorId="0" shapeId="0" xr:uid="{7DB30525-09EB-410D-9D6B-9022314DD1DE}">
      <text>
        <r>
          <rPr>
            <sz val="9"/>
            <color indexed="81"/>
            <rFont val="Segoe UI"/>
            <charset val="1"/>
          </rPr>
          <t>Insight iXlW00001C0000055R0080105531S00000108P01504LAocjBAQBF1NjaVRlZ2ljLmRhdGEuTW9sZWN1bGUBbwF/ARJTY2lUZWdpYy5Nb2xlY3VsZQAAAQFkAv5qAQAAAAIAAgEUARAAAAD8/AD8AAIAAAAAAADwvwAAAAAAABgAAAD8/AD8AAIAAAAAAADwvwKpNc07TtGhvwIBb4EExY/3vwAAAAAYAAAA/PwA/AACAAAAAAAA8L8C9pfdk4eF9b8CfPKwUGua6T8AAAAAHAAAAPz8APwAAgAAAAAAAPC/Au9aQj7o2fM/AtV46SYxiAHAAAAAABwAAAD8/AD8AAIAAAAAAADwvwKkAbwFEhT2vwLVeOkmMYgBwAAAAAAYAAAA/PwA/AACAAAAAAAA8L8CQfFjzF1L8z8CjgbwFkhQDcAAAAAAGAAAAPz8APwAAgAAAAAAAPC/AuC+Dpwzova/Ao4G8BZIUA3AAAAAABwAAAD8/AD8AAIAAAAAAADwvwIg0m9fB87BvwIj2/l+anwRwAAAAAAcAAAA/PwA/AACAAAAAAAA8L8C71pCPujZA0ACI9v5fmp8EcAAAAAAHAAAAPz8APwAAgAAAAAAAPC/Amsr9pfdEwbAAiPb+X5qfBHAAAAAABgAAAD8/AD8AAIAAAAAAADwvwI9vVKWIQ4OQAKneccpOpIMwAAAAAAYAAAA/PwA/AACAAAAAAAA8L8Cs3vysFBrEMACp3nHKTqSDMAAAAAAGAAAAPz8APwAAgAAAAAAAPC/AsWPMXctIRRAArCUZYhjHRHAAAAAABgAAAD8/AD8AAIAAAAAAADwvwKx4emVsswVwAKwlGWIYx0RwAAAAAAYAAAA/PwA/AACAAAAAAAA8L8Cu0kMAitHGUAClyGOdXEbDMAAAAAAGAAAAPz8APwAAgAAAAAAAPC/AifChqdXChvAApchjnVxGwzAAAAAACAAAAD8/AD8AAIAAAAAAADwvwKwA+eMKG0eQAITg8DKoQURwAAAAAAgAAAA/PwA/AACAAAAAAAA8L8C3UYDeAskIMACE4PAyqEFEcAAAAAAGAAAAPz8APwAAgAAAAAAAPC/AtPe4AuTySFAAl3+Q/rt6wvAAAAAABgAAAD8/AD8AAIAAAAAAADwvwKmLEMc68IiwAJd/kP67esLwAAAAAABFAAEAWUEAAAAAAAAAAAACAFlBAAAAAAAAAAABAwBZQgMAAAAAAAAAAQQAWUEAAAAAAAAAAAMFAFlBAAAAAAAAAAAEBgBZQgMAAAAAAAAABQcAWUICAAAAAAAAAAUIAFlBAAAAAAAAAAAGCQBZQQAAAAAAAAAACAoAWUEAAAAAAAAAAAkLAFlBAAAAAAAAAAAKDABZQQAAAAAAAAAACw0AWUEAAAAAAAAAAAwOAFlBAAAAAAAAAAANDwBZQQAAAAAAAAAADgBEAFlBAAAAAAAAAAAPAERAWUEAAAAAAAAAAABEAESAWUEAAAAAAAAAAABEQETAWUEAAAAAAAAAAAYHAFlBAAAAAAAAAAAAAAAAA==</t>
        </r>
      </text>
    </comment>
    <comment ref="A56" authorId="0" shapeId="0" xr:uid="{F59A0103-63FB-4889-83D3-22BAC058BC15}">
      <text>
        <r>
          <rPr>
            <sz val="9"/>
            <color indexed="81"/>
            <rFont val="Segoe UI"/>
            <charset val="1"/>
          </rPr>
          <t>Insight iXlW00001C0000056R0080105531S00000110P00392LAocjBAQBF1NjaVRlZ2ljLmRhdGEuTW9sZWN1bGUBbwF/ARJTY2lUZWdpYy5Nb2xlY3VsZQAAAQFkAv5qAQAAAAIAAhQBIQAAAPz8APwAAgAAAAAAAPC/AAAAAAAAIAAAAPz8APwAAgAAAAAAAPC/AoenV8oyxPQ/Agu1pnnHKei/AAAAACAAAAD8/AD8AAIAAAAAAADwvwAC8DhFR3L59z8AAAAAGAAAAPz8APwAAgAAAAAAAPC/AALwOEVHcvn3vwAAAAAYAAAA/PwA/AACAAAAAAAA8L8Ch6dXyjLE9L8CC7Wmeccp6L8AAAAAEAAEAWUIAAAAAAAAAAAACAFlBAAAAAAAAAAAAAwBZQQAAAAAAAAAAAAQAWUEAAAAAAAAAAAAAAAA</t>
        </r>
      </text>
    </comment>
    <comment ref="A57" authorId="0" shapeId="0" xr:uid="{7B3310D7-1D04-45FF-A415-5B9A7488E20E}">
      <text>
        <r>
          <rPr>
            <sz val="9"/>
            <color indexed="81"/>
            <rFont val="Segoe UI"/>
            <charset val="1"/>
          </rPr>
          <t>Insight iXlW00001C0000057R0080105531S00000112P01812LAocjBAQBF1NjaVRlZ2ljLmRhdGEuTW9sZWN1bGUBbwF/ARJTY2lUZWdpYy5Nb2xlY3VsZQAAAQFkAv5qAQAAAAIAAgEYARAAAAD8/AD8AAIAAAAAAADwvwAAAAAAACAAAAD8/AD8AAIAAAAAAADwvwI5RUdy+Q/jPwJqb/CFyVT1vwAAAAAgAAAA/PwA/AACAAAAAAAA8L8Cam/whclU9b8COUVHcvkP478AAAAAGAAAAPz8APwAAgAAAAAAAPC/AouO5PIf0vw/AsrDQq1p3uk/AAAAABgAAAD8/AD8AAIAAAAAAADwvwLKw0Ktad7pvwKLjuTyH9L8PwAAAAAYAAAA/PwA/AACAAAAAAAA8L8CcF8HzhlR/z8CQ61p3nEKAkAAAAAAGAAAAPz8APwAAgAAAAAAAPC/AocW2c730wdAAmTMXUvIB62/AAAAABwAAAD8/AD8AAIAAAAAAADwvwIhsHJoke0BwALQRNjw9MoAQAAAAAAcAAAA/PwA/AACAAAAAAAA8L8C1LzjFB3Jtb8CbjSAt0CCCEAAAAAAGAAAAPz8APwAAgAAAAAAAPC/Am3n+6nxUgpAApF++zpwzgZAAAAAABgAAAD8/AD8AAIAAAAAAADwvwLYgXNGlPboPwKgq63YX/YIQAAAAAAYAAAA/PwA/AACAAAAAAAA8L8CHqfoSC4/EUACc2iR7Xw/4T8AAAAAGAAAAPz8APwAAgAAAAAAAPC/AhWuR+F6lAZAAgTnjCjtDfi/AAAAABwAAAD8/AD8AAIAAAAAAADwvwKUGARWDi0DwAIhQfFjzF0MQAAAAAAYAAAA/PwA/AACAAAAAAAA8L8CTRWMSuoE8b8C5fIf0m+fEEAAAAAAGAAAAPz8APwAAgAAAAAAAPC/Aldbsb/s3hFAAtqs+lxtxf8/AAAAABgAAAD8/AD8AAIAAAAAAADwvwK8BRIUP0YNwAIzVTAqqRMRQAAAAAAYAAAA/PwA/AACAAAAAAAA8L8CTmIQWDk0F0ACuycPC7WmBEAAAAAAIAAAAPz8APwAAgAAAAAAAPC/ArwFEhQ/Rg3AAgg9m1Wf6xZAAAAAABwAAAD8/AD8AAIAAAAAAADwvwJz+Q/pt68TwAIhQfFjzF0MQAAAAAAYAAAA/PwA/AACAAAAAAAA8L8CB/AWSFC8GMACM1UwKqkTEUAAAAAAGAAAAPz8APwAAgAAAAAAAPC/AnP5D+m3rxPAAnZxGw3grQBAAAAAABgAAAD8/AD8AAIAAAAAAADwvwKb5h2n6MgdwAIhQfFjzF0MQAAAAAAYAAAA/PwA/AACAAAAAAAA8L8CB/AWSFC8GMAC1LzjFB3J9T8AAAAAARkABAFlCAAAAAAAAAAAAAgBZQgAAAAAAAAAAAAMAWUEAAAAAAAAAAAAEAFlBAAAAAAAAAAADBQBZQgMAAAAAAAAAAwYAWUEAAAAAAAAAAAQHAFlCAwAAAAAAAAAECABZQQAAAAAAAAAABQkAWUEAAAAAAAAAAAUKAFlBAAAAAAAAAAAGCwBZQgIAAAAAAAAABgwAWUEAAAAAAAAAAAcNAFlBAAAAAAAAAAAIDgBZQgIAAAAAAAAACQ8AWUIDAAAAAAAAAA0ARABZQQAAAAAAAAAADwBEQFlBAAAAAAAAAAAARABEgFlCAAAAAAAAAAAARABEwFlBAAAAAAAAAAAARMBFAFlBAAAAAAAAAAAARMBFQFlBAAAAAAAAAAAARQBFgFlBAAAAAAAAAAAARUBFwFlBAAAAAAAAAAALDwBZQQAAAAAAAAAADQ4AWUEAAAAAAAAAAAAAAAA</t>
        </r>
      </text>
    </comment>
    <comment ref="A58" authorId="0" shapeId="0" xr:uid="{175C7E59-8390-4922-9D22-35026F4EF80B}">
      <text>
        <r>
          <rPr>
            <sz val="9"/>
            <color indexed="81"/>
            <rFont val="Segoe UI"/>
            <charset val="1"/>
          </rPr>
          <t>Insight iXlW00001C0000058R0080105531S00000114P01252LAocjBAQBF1NjaVRlZ2ljLmRhdGEuTW9sZWN1bGUBbwF/ARJTY2lUZWdpYy5Nb2xlY3VsZQAAAQFkAv5qAQAAAAIBAgERIAAAAPz8APwAAgAAAAAAAPC/AAAAAAAAGAAAAPz8APwAAgAAAAAAAPC/Agkbnl4py/Q/Aqk1zTtO0ec/AAAAACAAAAD8/AD8AAIAAAAAAADwvwLQRNjw9MoEQAAAAAAAHAAAAPz8APwAAgAAAAAAAPC/Agkbnl4py/Q/AkymCkYl9QFAAAAAABgMAAD8/AD8AAIAAAAAAADwvwLQRNjw9MoEQALFsS5uowH4vwAAAAAYAAAA/PwA/AACAAAAAAAA8L8AAsWxLm6jAQhAAAAAABgAAAD8/AD8AAIAAAAAAADwvwJVUiegiTAPQAJMpgpGJfUBwAAAAAAYAAAA/PwA/AACAAAAAAAA8L8CCRueXinL9D8CWmQ7308NAsAAAAAAGAAAAPz8APwAAgAAAAAAAPC/AAJw8IXJVAESQAAAAAAYAAAA/PwA/AACAAAAAAAA8L8CCRueXinL9L8CTKYKRiX1AUAAAAAAIAAAAPz8APwAAgAAAAAAAPC/Au0vuycPyxRAAsWxLm6jAfi/AAAAABwAAAD8/AD8AAIAAAAAAADwvwJVUiegiTAPQAIv/yH99vUNwAAAAAAYAAAA/PwA/AACAAAAAAAA8L8CCRueXinL9L8CJZf/kH77FEAAAAAAGAAAAPz8APwAAgAAAAAAAPC/AtBE2PD0ygTAAsWxLm6jAQhAAAAAABgAAAD8/AD8AAIAAAAAAADwvwLtL7snD8sUQAJMpgpGJfURwAAAAAAYAAAA/PwA/AACAAAAAAAA8L8C0ETY8PTKBMACcPCFyVQBEkAAAAAAGAAAAPz8APwAAgAAAAAAAPC/Au0vuycPyxRAAto9eVio9RfAAAAAAAERAAQBZQgAAAAAAAAAAAQIAWUEAAAAAAAAAAAEDAFlBAAAAAAAAAAACBABZQQAAAAAAAAAAAwUAWUEAAAAAAAAAAAQGAFlBAAAAAAAAAAAEBwBZQQUAAAAAAAAABQgAWUIDAAAAAAAAAAUJAFlBAAAAAAAAAAAGCgBZQgAAAAAAAAAABgsAWUEAAAAAAAAAAAgMAFlBAAAAAAAAAAAJDQBZQgIAAAAAAAAACw4AWUEAAAAAAAAAAAwPAFlCAgAAAAAAAAAOAEQAWUEAAAAAAAAAAA0PAFlBAAAAAAAAAAAAAAAAA==</t>
        </r>
      </text>
    </comment>
    <comment ref="A59" authorId="0" shapeId="0" xr:uid="{88E6BCE7-C95B-4B5F-89C7-98C224093771}">
      <text>
        <r>
          <rPr>
            <sz val="9"/>
            <color indexed="81"/>
            <rFont val="Segoe UI"/>
            <charset val="1"/>
          </rPr>
          <t>Insight iXlW00001C0000059R0080105531S00000116P01920LAocjBAQBF1NjaVRlZ2ljLmRhdGEuTW9sZWN1bGUBbwF/ARJTY2lUZWdpYy5Nb2xlY3VsZQAAAQFkAv5qAQAAAAIAAgEaAREAAAD8/AD8AAIAAAAAAADwvwAAAAAAABgAAAD8/AD8AAIAAAAAAADwvwJ6xyk6ksv0vwKLjuTyH9LnvwAAAAAYAAAA/PwA/AACAAAAAAAA8L8CescpOpLL9L8CvVKWIY71AcAAAAAAGAAAAPz8APwAAgAAAAAAAPC/AnrHKTqSywTAAAAAAAAYAAAA/PwA/AACAAAAAAAA8L8CescpOpLLBMACbjSAt0ACCMAAAAAAGAAAAPz8APwAAgAAAAAAAPC/AAJuNIC3QAIIwAAAAAAYAAAA/PwA/AACAAAAAAAA8L8CN6s+V1sxD8ACi47k8h/S578AAAAAGAAAAPz8APwAAgAAAAAAAPC/AjerPldbMQ/AAr1SliGO9QHAAAAAABgMAAD8/AD8AAIAAAAAAADwvwACxLEubqMBEsAAAAAAJAAAAPz8APwAAgAAAAAAAPC/Al7cRgN4yxTAAAAAAAAcAAAA/PwA/AACAAAAAAAA8L8CXtxGA3jLFMACbjSAt0ACCMAAAAAAAREAAAD8/AD8AAIAAAAAAADwvwJ6xyk6ksv0vwKdoiO5/AcVwAAAAAAYAAAA/PwA/AACAAAAAAAA8L8CescpOpLL9D8ClkOLbOf7FMAAAAAAHAAAAPz8APwAAgAAAAAAAPC/AoJzRpT2RhrAAtbnaiv2FwPAAAAAABgAAAD8/AD8AAIAAAAAAADwvwLxhclUwWgVwAK9UpYhjvURwAAAAAAgAAAA/PwA/AACAAAAAAAA8L8CescpOpLLBEACxLEubqMBEsAAAAAAIAAAAPz8APwAAgAAAAAAAPC/AnrHKTqSy/Q/Aj/G3LWE/BrAAAAAABgAAAD8/AD8AAIAAAAAAADwvwJC8WPMXUsewAIKaCJsePoLwAAAAAAgAAAA/PwA/AACAAAAAAAA8L8C1sVtNID3EMACfdCzWfX5FcAAAAAAHAAAAPz8APwAAgAAAAAAAPC/AmkAb4EERRvAAuSlm8QgMBPAAAAAABgAAAD8/AD8AAIAAAAAAADwvwJ6xyk6kssEQAL1bFZ9rvYdwAAAAAAYAAAA/PwA/AACAAAAAAAA8L8CcoqO5PIfIsAC5BQdyeW/CsAAAAAAGAAAAPz8APwAAgAAAAAAAPC/ArWmeccpuh3AAgg9m1WfqxjAAAAAABgAAAD8/AD8AAIAAAAAAADwvwJ6xyk6kssEQALP91PjpfshwAAAAAAkAAAA/PwA/AACAAAAAAAA8L8CdLUV+8suGsACmioYldSJHcAAAAAAJAAAAPz8APwAAgAAAAAAAPC/AixlGeJY1yHAApvmHafoSBnAAAAAAAEbAAQBZQQAAAAAAAAAAAQIAWUIDAAAAAAAAAAEDAFlBAAAAAAAAAAACBABZQQAAAAAAAAAAAgUAWUEAAAAAAAAAAAMGAFlCAwAAAAAAAAAEBwBZQgMAAAAAAAAABQgAWUEAAAAAAAAAAAYJAFlBAAAAAAAAAAAHCgBZQQAAAAAAAAAACAsAWUEEAAAAAAAAAAgMAFlBAAAAAAAAAAAKDQBZQQAAAAAAAAAACg4AWUEAAAAAAAAAAAwPAFlCAAAAAAAAAAAMAEQAWUEAAAAAAAAAAA0AREBZQgMAAAAAAAAADgBEgFlCAAAAAAAAAAAOAETAWUEAAAAAAAAAAABEAEUAWUEAAAAAAAAAAABEQEVAWUEAAAAAAAAAAABEwEWAWUEAAAAAAAAAAABFAEXAWUEAAAAAAAAAAABFgEYAWUEAAAAAAAAAAABFgEZAWUEAAAAAAAAAAAYHAFlBAAAAAAAAAAAAREBEwFlBAAAAAAAAAAAAAAAAA==</t>
        </r>
      </text>
    </comment>
    <comment ref="A60" authorId="0" shapeId="0" xr:uid="{7D9B270E-34D6-4B99-AB68-07BE684430FD}">
      <text>
        <r>
          <rPr>
            <sz val="9"/>
            <color indexed="81"/>
            <rFont val="Segoe UI"/>
            <charset val="1"/>
          </rPr>
          <t>Insight iXlW00001C0000060R0080105531S00000118P01520LAocjBAQBF1NjaVRlZ2ljLmRhdGEuTW9sZWN1bGUBbwF/ARJTY2lUZWdpYy5Nb2xlY3VsZQAAAQFkAv5qAQAAAAIAAgEUAREAAAD8/AD8AAIAAAAAAADwvwAAAAAAABgAAAD8/AD8AAIAAAAAAADwvwL6fmq8dJOYvwIaUdobfGH4PwAAAAAYAAAA/PwA/AACAAAAAAAA8L8CutqK/WX38z8CE/JBz2ZVAkAAAAAAGAAAAPz8APwAAgAAAAAAAPC/AjnWxW00gPW/ApSHhVrTPAJAAAAAACAAAAD8/AD8AAIAAAAAAADwvwKA2T15WCgEQAIU0ETY8PT4PwAAAAAYAAAA/PwA/AACAAAAAAAA8L8CvjCZKhiV8z8C2fD0SlmGDkAAAAAAGAAAAPz8APwAAgAAAAAAAPC/AjWAt0CC4vW/AlqGONbFbQ5AAAAAABgAAAD8/AD8AAIAAAAAAADwvwLbG3xhMlUOQAKQMXctIZ8CQAAAAAAYAAAA/PwA/AACAAAAAAAA8L8C+n5qvHSTuL8C8KfGSzdJEkAAAAAAAREAAAD8/AD8AAIAAAAAAADwvwJxrIvbaIAFwAKwcmiR7TwSQAAAAAAYAAAA/PwA/AACAAAAAAAA8L8C/0P67etAFEACDk+vlGWI+T8AAAAAGAAAAPz8APwAAgAAAAAAAPC/At1GA3gLJA5AAlYwKqkT0A5AAAAAABgAAAD8/AD8AAIAAAAAAADwvwIsZRniWFcZQAINcayL2+gCQAAAAAAYAAAA/PwA/AACAAAAAAAA8L8CgNk9eVgoFEAC7nw/NV56EkAAAAAAIAAAAPz8APwAAgAAAAAAAPC/AjtwzojSnh5AAgjOGVHaG/o/AAAAABgAAAD8/AD8AAIAAAAAAADwvwKt+lxtxT4ZQALTb18HzhkPQAAAAAAYAAAA/PwA/AACAAAAAAAA8L8Ce6UsQxyrHkACTDeJQWDlwD8AAAAAHAAEAPz8APwAAgAAAAAAAPC/Ar4wmSoYVR5AAqwcWmQ7nxJAAAAAACAAAAD8/AD8AAIAAAAAAADwvwL2KFyPwrUhQAJPr5RliGMPQAAAAAAgAPwA/PwA/AACAAAAAAAA8L8CP8bctYQ8HkAC87BQa5q3GEAAAAAAARUABAFlBAAAAAAAAAAABAgBZQgIAAAAAAAAAAQMAWUEAAAAAAAAAAAIEAFlBAAAAAAAAAAACBQBZQQAAAAAAAAAAAwYAWUIDAAAAAAAAAAQHAFlBAAAAAAAAAAAFCABZQgIAAAAAAAAABgkAWUEAAAAAAAAAAAcKAFlCAwAAAAAAAAAHCwBZQQAAAAAAAAAACgwAWUEAAAAAAAAAAAsNAFlCAgAAAAAAAAAMDgBZQQAAAAAAAAAADA8AWUIDAAAAAAAAAA4ARABZQQAAAAAAAAAADwBEQFlBAAAAAAAAAAAAREBEgFlCAAAAAAAAAAAAREBEwFlBAAAAAAAAAAAGCABZQQAAAAAAAAAADQ8AWUEAAAAAAAAAAAAAAAA</t>
        </r>
      </text>
    </comment>
    <comment ref="A61" authorId="0" shapeId="0" xr:uid="{319CCCAA-5E71-4634-BDDA-089EEF89BFF8}">
      <text>
        <r>
          <rPr>
            <sz val="9"/>
            <color indexed="81"/>
            <rFont val="Segoe UI"/>
            <charset val="1"/>
          </rPr>
          <t>Insight iXlW00001C0000061R0080105531S00000120P00896LAocjBAQBF1NjaVRlZ2ljLmRhdGEuTW9sZWN1bGUBbwF/ARJTY2lUZWdpYy5Nb2xlY3VsZQAAAQFkAv5qAQAAAAIAAjABEQAAAPz8APwAAgAAAAAAAPC/AAAAAAAAGAAAAPz8APwAAgAAAAAAAPC/AktZhjjWxfS/ArK/7J48LOi/AAAAABgAAAD8/AD8AAIAAAAAAADwvwITg8DKocUEwAAAAAAAGAAAAPz8APwAAgAAAAAAAPC/AktZhjjWxfS/An/7OnDOCALAAAAAABwAAAD8/AD8AAIAAAAAAADwvwITg8DKocUEwAIll/+Qfvv3PwAAAAAYAAAA/PwA/AACAAAAAAAA8L8CuK8D54woD8ACsr/snjws6L8AAAAAGAAAAPz8APwAAgAAAAAAAPC/AAIll/+QfvsHwAAAAAAYAAAA/PwA/AACAAAAAAAA8L8CE4PAyqHFBMACM1UwKqkTCMAAAAAAGAAAAPz8APwAAgAAAAAAAPC/ArivA+eMKA/AAn/7OnDOCALAAAAAACAAAAD8/AD8AAIAAAAAAADwvwJLWYY41sX0PwJ/+zpwzggCwAAAAAAgAAAA/PwA/AACAAAAAAAA8L8AAlyxv+ye/BHAAAAAAAERAAAA/PwA/AACAAAAAAAA8L8CL26jAbzFFMACM1UwKqkTCMAAAAAAMAAEAWUEAAAAAAAAAAAECAFlCAgAAAAAAAAABAwBZQQAAAAAAAAAAAgQAWUEAAAAAAAAAAAIFAFlBAAAAAAAAAAADBgBZQQAAAAAAAAAAAwcAWUICAAAAAAAAAAUIAFlCAwAAAAAAAAAGCQBZQgAAAAAAAAAABgoAWUEAAAAAAAAAAAgLAFlBAAAAAAAAAAAHCABZQQAAAAAAAAAAAAAAAA=</t>
        </r>
      </text>
    </comment>
    <comment ref="A62" authorId="0" shapeId="0" xr:uid="{EFB297DE-3BF7-4D66-8EEC-178A8E61079F}">
      <text>
        <r>
          <rPr>
            <sz val="9"/>
            <color indexed="81"/>
            <rFont val="Segoe UI"/>
            <charset val="1"/>
          </rPr>
          <t>Insight iXlW00001C0000062R0080105531S00000122P01060LAocjBAQBF1NjaVRlZ2ljLmRhdGEuTW9sZWN1bGUBbwF/ARJTY2lUZWdpYy5Nb2xlY3VsZQAAAQFkAv5qAQAAAAIAAjgBEQAAAPz8APwAAgAAAAAAAPC/AAAAAAAAGAAAAPz8APwAAgAAAAAAAPC/AtS84xQdyfQ/AgIrhxbZzuc/AAAAABgAAAD8/AD8AAIAAAAAAADwvwLUvOMUHcn0PwKI9NvXgfMBQAAAAAAYAAAA/PwA/AACAAAAAAAA8L8C1LzjFB3JBEAC7Q2+MJkqiL8AAAAAAREAAAD8/AD8AAIAAAAAAADwvwACj1N0JJf/B0AAAAAAGAAAAPz8APwAAgAAAAAAAPC/AtS84xQdyQRAAoGVQ4ts5wdAAAAAABgAAAD8/AD8AAIAAAAAAADwvwI9m1Wfqy0PQALLMsSxLm7nPwAAAAAYAAAA/PwA/AACAAAAAAAA8L8CPZtVn6stD0ACejarPlfbAUAAAAAAHAAAAPz8APwAAgAAAAAAAPC/AvCnxks3yRRAAu0NvjCZKpi/AAAAABgAAAD8/AD8AAIAAAAAAADwvwIll/+QfvsZQAKTOgFNhA3nPwAAAAAgAAAA/PwA/AACAAAAAAAA8L8CJZf/kH77GUACbHh6pSzDAUAAAAAAGAAAAPz8APwAAgAAAAAAAPC/AlqGONbFLR9AAnKKjuTyH6K/AAAAABgAAAD8/AD8AAIAAAAAAADwvwJahjjWxS0fQALjx5i7lpD4vwAAAAAYAAAA/PwA/AACAAAAAAAA8L8Cx7q4jQYwIkACW0I+6Nms5j8AAAAAOAAEAWUEAAAAAAAAAAAECAFlCAgAAAAAAAAABAwBZQQAAAAAAAAAAAgQAWUEAAAAAAAAAAAIFAFlBAAAAAAAAAAADBgBZQgMAAAAAAAAABQcAWUICAAAAAAAAAAYIAFlBAAAAAAAAAAAICQBZQQAAAAAAAAAACQoAWUIAAAAAAAAAAAkLAFlBAAAAAAAAAAALDABZQgAAAAAAAAAACw0AWUEAAAAAAAAAAAYHAFlBAAAAAAAAAAAAAAAAA==</t>
        </r>
      </text>
    </comment>
    <comment ref="A63" authorId="0" shapeId="0" xr:uid="{ADFD2AFC-CB54-440F-ACDF-02BB6FC0EE48}">
      <text>
        <r>
          <rPr>
            <sz val="9"/>
            <color indexed="81"/>
            <rFont val="Segoe UI"/>
            <charset val="1"/>
          </rPr>
          <t>Insight iXlW00001C0000063R0080105531S00000124P01284LAocjBAQBF1NjaVRlZ2ljLmRhdGEuTW9sZWN1bGUBbwF/ARJTY2lUZWdpYy5Nb2xlY3VsZQAAAQFkAv5qAQAAAAIAAgERAREAAAD8/AD8AAIAAAAAAADwvwAAAAAAABgAAAD8/AD8AAIAAAAAAADwvwJn1edqK/aHvwI7cM6I0t73vwAAAAAcAAAA/PwA/AACAAAAAAAA8L8CPgrXo3A99b8CbHh6pSzDAcAAAAAAHAAAAPz8APwAAgAAAAAAAPC/ArByaJHtfPQ/Amx4eqUswwHAAAAAABgAAAD8/AD8AAIAAAAAAADwvwLp2az6XG31vwLDhqdXyrINwAAAAAAYAAAA/PwA/AACAAAAAAAA8L8ClfYGX5hM9D8Cw4anV8qyDcAAAAAAHAAAAPz8APwAAgAAAAAAAPC/Aqrx0k1iEKi/Al5LyAc92xHAAAAAABwAAAD8/AD8AAIAAAAAAADwvwI+CtejcD0FwAJeS8gHPdsRwAAAAAAcAAAA/PwA/AACAAAAAAAA8L8CsHJoke18BEACXkvIBz3bEcAAAAAAGAAAAPz8APwAAgAAAAAAAPC/Ak/RkVz+ww/AAt/gC5Opgg3AAAAAABgAAAD8/AD8AAIAAAAAAADwvwIT8kHPZlUFwAKJ0t7gC9MXwAAAAAAYAAAA/PwA/AACAAAAAAAA8L8C3pOHhVrTDkAC3+ALk6mCDcAAAAAAGAAAAPz8APwAAgAAAAAAAPC/AqK0N/jCZARAAonS3uAL0xfAAAAAABgAAAD8/AD8AAIAAAAAAADwvwIwTKYKRiUVwAJseHqlLMMRwAAAAAAYAAAA/PwA/AACAAAAAAAA8L8CJLn8h/TbD8AClIeFWtO8GsAAAAAAGAAAAPz8APwAAgAAAAAAAPC/AqJFtvP9lBRAAmx4eqUswxHAAAAAABgAAAD8/AD8AAIAAAAAAADwvwIJrBxaZLsOQAKUh4Va07wawAAAAAABEQAEAWUEAAAAAAAAAAAECAFlCAwAAAAAAAAABAwBZQQAAAAAAAAAAAgQAWUEAAAAAAAAAAAMFAFlCAwAAAAAAAAAEBgBZQgIAAAAAAAAABAcAWUEAAAAAAAAAAAUIAFlBAAAAAAAAAAAHCQBZQQAAAAAAAAAABwoAWUEAAAAAAAAAAAgLAFlBAAAAAAAAAAAIDABZQQAAAAAAAAAACQ0AWUEAAAAAAAAAAAoOAFlBAAAAAAAAAAALDwBZQQAAAAAAAAAADABEAFlBAAAAAAAAAAAFBgBZQQAAAAAAAAAAAAAAAA=</t>
        </r>
      </text>
    </comment>
    <comment ref="A64" authorId="0" shapeId="0" xr:uid="{8D4DC97E-07C8-4E10-90DA-6E4550B3FB23}">
      <text>
        <r>
          <rPr>
            <sz val="9"/>
            <color indexed="81"/>
            <rFont val="Segoe UI"/>
            <charset val="1"/>
          </rPr>
          <t>Insight iXlW00001C0000064R0080105531S00000126P01140LAocjBAQBF1NjaVRlZ2ljLmRhdGEuTW9sZWN1bGUBbwF/ARJTY2lUZWdpYy5Nb2xlY3VsZQAAAQFkAv5qAQAAAAIAAjwBIwAAAPz8APwAAgAAAAAAAPC/AAAAAAAAGAAAAPz8APwAAgAAAAAAAPC/AuQUHcnlP/U/An3Qs1n1uei/AAAAABgAAAD8/AD8AAIAAAAAAADwvwJRa5p3nKL1PwKmm8QgsHICwAAAAAAYAAAA/PwA/AACAAAAAAAA8L8CP+jZrPrcBEACgbdAguLHiL8AAAAAAREAAAD8/AD8AAIAAAAAAADwvwJ/+zpwzoiyPwIOT6+UZYgIwAAAAAAYAAAA/PwA/AACAAAAAAAA8L8CdZMYBFYOBUACj+TyH9JvCMAAAAAAGAAAAPz8APwAAgAAAAAAAPC/AtNvXwfOGQ9AAp/Nqs/VVui/AAAAABgAAAD8/AD8AAIAAAAAAADwvwJC8WPMXUsPQALvWkI+6FkCwAAAAAAcAAAA/PwA/AACAAAAAAAA8L8Ch6dXyjLEFEAC16NwPQpXCMAAAAAAGAAAAPz8APwAAgAAAAAAAPC/AlFrmnec4hlAAnDwhclUQQLAAAAAACAAAAD8/AD8AAIAAAAAAADwvwK2FfvL7skZQALByqFFtvPnvwAAAAAcAAAA/PwA/AACAAAAAAAA8L8CNxrAWyABH0ACIGPuWkI+CMAAAAAAIAAAAPz8APwAAgAAAAAAAPC/Ao/k8h/SDyJAArivA+eMKALAAAAAABgAAAD8/AD8AAIAAAAAAADwvwKcxCCwcugeQAIBb4EExQ8SwAAAAAAYAAAA/PwA/AACAAAAAAAA8L8C0GbV52qrJEACaCJseHolCMAAAAAAPAAEAWUEAAAAAAAAAAAECAFlCAgAAAAAAAAABAwBZQQAAAAAAAAAAAgQAWUEAAAAAAAAAAAIFAFlBAAAAAAAAAAADBgBZQgIAAAAAAAAABQcAWUIDAAAAAAAAAAcIAFlBAAAAAAAAAAAICQBZQQAAAAAAAAAACQoAWUIAAAAAAAAAAAkLAFlBAAAAAAAAAAALDABZQQAAAAAAAAAACw0AWUEAAAAAAAAAAAwOAFlBAAAAAAAAAAAGBwBZQQAAAAAAAAAAAAAAAA=</t>
        </r>
      </text>
    </comment>
    <comment ref="A65" authorId="0" shapeId="0" xr:uid="{765E1A98-B3A0-4046-8A77-7BA4E6055DF8}">
      <text>
        <r>
          <rPr>
            <sz val="9"/>
            <color indexed="81"/>
            <rFont val="Segoe UI"/>
            <charset val="1"/>
          </rPr>
          <t>Insight iXlW00001C0000065R0080105531S00000128P01140LAocjBAQBF1NjaVRlZ2ljLmRhdGEuTW9sZWN1bGUBbwF/ARJTY2lUZWdpYy5Nb2xlY3VsZQAAAQFkAv5qAQAAAAIAAjwBEQAAAPz8APwAAgAAAAAAAPC/AAAAAAAAGAAAAPz8APwAAgAAAAAAAPC/AuPHmLuWkPQ/AqJFtvP91Og/AAAAABgAAAD8/AD8AAIAAAAAAADwvwLjx5i7lpAEQALE0ytlGeKYPwAAAAAYAAAA/PwA/AACAAAAAAAA8L8ClBgEVg4t9D8CgnNGlPaGAkAAAAAAGAAAAPz8APwAAgAAAAAAAPC/ApxVn6ut2A5AAkCk374OnOk/AAAAABgAAAD8/AD8AAIAAAAAAADwvwI7cM6I0l4EQAIzxLEubqMIQAAAAAAcAAAA/PwA/AACAAAAAAAA8L8Cx9y1hHyQFEACgnNGlPYGrz8AAAAAGAAAAPz8APwAAgAAAAAAAPC/Ai3UmuYdpw5AAirLEMe6uAJAAAAAABgAAAD8/AD8AAIAAAAAAADwvwIPnDOitHcUQAJq3nGKjuT2vwAAAAAgAAAA/PwA/AACAAAAAAAA8L8CFvvL7slDDkACPujZrPpcAcAAAAAAIAAAAPz8APwAAgAAAAAAAPC/AuviNhrAmxlAAj7o2az6XAHAAAAAABgMAAD8/AD8AAIAAAAAAADwvwI0orQ3+IIZQAJC8WPMXUsNwAAAAAAYAAAA/PwA/AACAAAAAAAA8L8CLdSa5h2nHkACnoAmwoanEcAAAAAAGAAAAPz8APwAAgAAAAAAAPC/AoQvTKYKRhRAAkJg5dAimxHAAAAAABgAAAD8/AD8AAIAAAAAAADwvwKFDU+vlOUhQAIi/fZ14JwUwAAAAAA8AAQBZQQAAAAAAAAAAAQIAWUIDAAAAAAAAAAEDAFlBAAAAAAAAAAACBABZQQAAAAAAAAAAAwUAWUICAAAAAAAAAAQGAFlBAAAAAAAAAAAEBwBZQgIAAAAAAAAABggAWUEAAAAAAAAAAAgJAFlCAAAAAAAAAAAICgBZQQAAAAAAAAAACgsAWUEAAAAAAAAAAAsMAFlBAAAAAAAAAAALDQBZQQUAAAAAAAAADA4AWUMAAAAAAAAAAAUHAFlBAAAAAAAAAAAAAAAAA==</t>
        </r>
      </text>
    </comment>
    <comment ref="A66" authorId="0" shapeId="0" xr:uid="{284C54EF-9917-4E2E-9987-3A9334CE36CE}">
      <text>
        <r>
          <rPr>
            <sz val="9"/>
            <color indexed="81"/>
            <rFont val="Segoe UI"/>
            <charset val="1"/>
          </rPr>
          <t>Insight iXlW00001C0000066R0080105531S00000130P01052LAocjBAQBF1NjaVRlZ2ljLmRhdGEuTW9sZWN1bGUBbwF/ARJTY2lUZWdpYy5Nb2xlY3VsZQAAAQFkAv5qAQAAAAIAAjgBEQAAAPz8APwAAgAAAAAAAPC/AAAAAAAAGAAAAPz8APwAAgAAAAAAAPC/AnRGlPYGX4i/Ailcj8L1KPg/AAAAABgAAAD8/AD8AAIAAAAAAADwvwI9LNSa5h31vwJeukkMAisCQAAAAAAYAAAA/PwA/AACAAAAAAAA8L8CCYofY+5a9D8CXrpJDAIrAkAAAAAAAREAAAD8/AD8AAIAAAAAAADwvwL2l92ThwUFwAJDrWnecYr4PwAAAAAYAAAA/PwA/AACAAAAAAAA8L8CylTBqKRO9b8Cc2iR7Xw/DkAAAAAAGAAAAPz8APwAAgAAAAAAAPC/AnxhMlUwKvQ/AnNoke18Pw5AAAAAABgAAAD8/AD8AAIAAAAAAADwvwKI9NvXgXMEQAJDrWnecYr4PwAAAAAYAAAA/PwA/AACAAAAAAAA8L8CdEaU9gZfqL8CXrpJDAIrEkAAAAAAAREAAAD8/AD8AAIAAAAAAADwvwJCYOXQIlsEQAJeukkMAisSQAAAAAAYAAAA/PwA/AACAAAAAAAA8L8C001iEFi5DkAC6+I2GsBbAkAAAAAAIAAAAPz8APwAAgAAAAAAAPC/Ao25awn5oA5AAgCRfvs6cA5AAAAAACAA/AD8/AD8AAIAAAAAAADwvwKPU3Qkl38UQAJd/kP67ev4PwAAAAAsAAQA/PwA/AACAAAAAAAA8L8C9dvXgXPGG0ACduCcEaW98D8AAAAANAAEAWUEAAAAAAAAAAAECAFlCAgAAAAAAAAABAwBZQQAAAAAAAAAAAgQAWUEAAAAAAAAAAAIFAFlBAAAAAAAAAAADBgBZQgMAAAAAAAAAAwcAWUEAAAAAAAAAAAUIAFlCAgAAAAAAAAAGCQBZQQAAAAAAAAAABwoAWUEAAAAAAAAAAAoLAFlCAAAAAAAAAAAKDABZQQAAAAAAAAAABggAWUEAAAAAAAAAAAAAAAA</t>
        </r>
      </text>
    </comment>
    <comment ref="A67" authorId="0" shapeId="0" xr:uid="{9CF6C706-0E7C-421B-A703-15BE62201EDF}">
      <text>
        <r>
          <rPr>
            <sz val="9"/>
            <color indexed="81"/>
            <rFont val="Segoe UI"/>
            <charset val="1"/>
          </rPr>
          <t>Insight iXlW00001C0000067R0080105531S00000132P01000LAocjBAQBF1NjaVRlZ2ljLmRhdGEuTW9sZWN1bGUBbwF/ARJTY2lUZWdpYy5Nb2xlY3VsZQAAAQFkAv5qAQAAAAIAAjQBEQAAAPz8APwAAgAAAAAAAPC/AAAAAAAAGAAAAPz8APwAAgAAAAAAAPC/AoC3QILix/Q/AgaBlUOLbOe/AAAAABgAAAD8/AD8AAIAAAAAAADwvwJI4XoUrscEQAJpke18PzWuPwAAAAAYAAAA/PwA/AACAAAAAAAA8L8C2BLyQc9m9D8CJzEIrBzaAcAAAAAAGAAAAPz8APwAAgAAAAAAAPC/Agg9m1WfKw9AAvCnxks3ieW/AAAAABgAAAD8/AD8AAIAAAAAAADwvwIsZRniWJcEQAJb07zjFJ0HwAAAAAAYAAAA/PwA/AACAAAAAAAA8L8CtOpztRX7DkAC4noUrkdhAcAAAAAAGAAAAPz8APwAAgAAAAAAAPC/AjojSnuDrxRAAhUdyeU/JAfAAAAAABgMAAD8/AD8AAIAAAAAAADwvwL+ZffkYeEZQAJj7lpCPugAwAAAAAABEQAAAPz8APwAAgAAAAAAAPC/AvCnxks3yRlAAtnO91PjpeO/AAAAABgAAAD8/AD8AAIAAAAAAADwvwLek4eFWhMfQAKXkA96NqsGwAAAAAAgAAAA/PwA/AACAAAAAAAA8L8CUWuad5wiIkACHjhnRGlvAMAAAAAAIAAAAPz8APwAAgAAAAAAAPC/AuxRuB6FKx9AAr4wmSoYVRHAAAAAADQABAFlBAAAAAAAAAAABAgBZQgMAAAAAAAAAAQMAWUEAAAAAAAAAAAIEAFlBAAAAAAAAAAADBQBZQgIAAAAAAAAABAYAWUIDAAAAAAAAAAYHAFlBAAAAAAAAAAAHCABZQQAAAAAAAAAACAkAWUEFAAAAAAAAAAgKAFlBAAAAAAAAAAAKCwBZQgAAAAAAAAAACgwAWUEAAAAAAAAAAAUGAFlBAAAAAAAAAAAAAAAAA==</t>
        </r>
      </text>
    </comment>
    <comment ref="A68" authorId="0" shapeId="0" xr:uid="{7F7D7A92-A093-4005-A165-91A5F29330FB}">
      <text>
        <r>
          <rPr>
            <sz val="9"/>
            <color indexed="81"/>
            <rFont val="Segoe UI"/>
            <charset val="1"/>
          </rPr>
          <t>Insight iXlW00001C0000068R0080105531S00000134P01136LAocjBAQBF1NjaVRlZ2ljLmRhdGEuTW9sZWN1bGUBbwF/ARJTY2lUZWdpYy5Nb2xlY3VsZQAAAQFkAv5qAQAAAAIAAjwBEQAAAPz8APwAAgAAAAAAAPC/AAAAAAAAGAAAAPz8APwAAgAAAAAAAPC/Agkbnl4py/S/Aqk1zTtO0ee/AAAAABgAAAD8/AD8AAIAAAAAAADwvwIJG55eKcsEwAAAAAAAGAAAAPz8APwAAgAAAAAAAPC/Agkbnl4py/S/AoV80LNZ9QHAAAAAACAAAAD8/AD8AAIAAAAAAADwvwIJG55eKcsEwALFsS5uowH4PwAAAAAcAAAA/PwA/AACAAAAAAAA8L8CjSjtDb4wD8ACqTXNO07R578AAAAAHAAAAPz8APwAAgAAAAAAAPC/AAL9h/Tb1wEIwAAAAAAYAAAA/PwA/AACAAAAAAAA8L8CCRueXinLBMAC78nDQq3pB8AAAAAAHAAAAPz8APwAAgAAAAAAAPC/Ao0o7Q2+MA/AAoV80LNZ9QHAAAAAABgAAAD8/AD8AAIAAAAAAADwvwIJG55eKcsUwALtDb4wmSqIPwAAAAAYAAAA/PwA/AACAAAAAAAA8L8Cy6FFtvP9GcACcT0K16Nw578AAAAAGAAAAPz8APwAAgAAAAAAAPC/Agkbnl4pyxTAAlHaG3xhMvg/AAAAABgAAAD8/AD8AAIAAAAAAADwvwKNKO0NvjAfwALtDb4wmSqYPwAAAAAYAAAA/PwA/AACAAAAAAAA8L8Cy6FFtvP9GcACofgx5q4lAkAAAAAAGAAAAPz8APwAAgAAAAAAAPC/Ao0o7Q2+MB/AAm1Wfa62Yvg/AAAAAAEQAAQBZQQAAAAAAAAAAAQIAWUEAAAAAAAAAAAEDAFlCAgAAAAAAAAACBABZQgAAAAAAAAAAAgUAWUEAAAAAAAAAAAMGAFlBAAAAAAAAAAADBwBZQQAAAAAAAAAABQgAWUEAAAAAAAAAAAUJAFlBAAAAAAAAAAAJCgBZQgMAAAAAAAAACQsAWUEAAAAAAAAAAAoMAFlBAAAAAAAAAAALDQBZQgIAAAAAAAAADA4AWUICAAAAAAAAAAcIAFlCAgAAAAAAAAANDgBZQQAAAAAAAAAAAAAAAA=</t>
        </r>
      </text>
    </comment>
    <comment ref="A69" authorId="0" shapeId="0" xr:uid="{756BA8A3-8AAE-432E-844B-38AA6A8F5DCB}">
      <text>
        <r>
          <rPr>
            <sz val="9"/>
            <color indexed="81"/>
            <rFont val="Segoe UI"/>
            <charset val="1"/>
          </rPr>
          <t>Insight iXlW00001C0000069R0080105531S00000136P02028LAocjBAQBF1NjaVRlZ2ljLmRhdGEuTW9sZWN1bGUBbwF/ARJTY2lUZWdpYy5Nb2xlY3VsZQAAAQFkAv5qAQAAAAIAAgEbAREAAAD8/AD8AAIAAAAAAADwvwAAAAAAABgAAAD8/AD8AAIAAAAAAADwvwKeXinLEMf0vwKUGARWDi3oPwAAAAAcAAAA/PwA/AACAAAAAAAA8L8CZohjXdzGBMAAAAAAABgAAAD8/AD8AAIAAAAAAADwvwKeXinLEMf0vwKZKhiV1AkCQAAAAAAYAAAA/PwA/AACAAAAAAAA8L8CtTf4wmQqD8ACXCBB8WPM5z8AAAAAGAAAAPz8APwAAgAAAAAAAPC/AmaIY13cxgTAArByaJHt/AdAAAAAABwAAAD8/AD8AAIAAAAAAADwvwK1N/jCZCoPwAKMbOf7qfEBQAAAAAAcAAAA/PwA/AACAAAAAAAA8L8CgnNGlPbGFMAC7Q2+MJkqiL8AAAAAIAAAAPz8APwAAgAAAAAAAPC/AmaIY13cxgTAApLLf0i//RFAAAAAABgAAAD8/AD8AAIAAAAAAADwvwIN4C2QoPgZwAJcIEHxY8znPwAAAAAYAAAA/PwA/AACAAAAAAAA8L8CtTf4wmQqD8ACnu+nxkv3FEAAAAAAIAAAAPz8APwAAgAAAAAAAPC/Ag3gLZCg+BnAAoxs5/up8QFAAAAAABwAAAD8/AD8AAIAAAAAAADwvwK1N/jCZCofwALtDb4wmSqIvwAAAAABEAAAAPz8APwAAgAAAAAAAPC/Aq5H4XoULiLAAiQofoy5a+c/AAAAACAAAAD8/AD8AAIAAAAAAADwvwL0/dR46cYkwAJcIEHxY8z3PwAAAAAgAAAA/PwA/AACAAAAAAAA8L8Cl5APejarIMACWDm0yHY+AEAAAAAAGAAAAPz8APwAAgAAAAAAAPC/ArRZ9bnaqiPAAjY8vVKWIeK/AAAAABgAAAD8/AD8AAIAAAAAAADwvwJDrWnecaomwAI2PL1SliHivwAAAAAYAAAA/PwA/AACAAAAAAAA8L8CKxiV1AkoIsACuvyH9NvX/b8AAAAAGAAAAPz8APwAAgAAAAAAAPC/AlpkO99PLSjAAiQofoy5a+c/AAAAABgAAAD8/AD8AAIAAAAAAADwvwLXNO84RScowAK6/If029f9vwAAAAAYAAAA/PwA/AACAAAAAAAA8L8CMSqpE9CkI8ACrK3YX3ZPCcAAAAAAIAAAAPz8APwAAgAAAAAAAPC/AkOtad5xqibAAlg5tMh2PgBAAAAAACAAAAD8/AD8AAIAAAAAAADwvwLpt68D5ywrwAIkKH6MuWvnPwAAAAAYAAAA/PwA/AACAAAAAAAA8L8CQ61p3nGqJsACrK3YX3ZPCcAAAAAAGAAAAPz8APwAAgAAAAAAAPC/Au/Jw0KtqSzAAlg5tMh2PgBAAAAAABgAAAD8/AD8AAIAAAAAAADwvwIMk6mCUakvwAJYObTIdj4AQAAAAAABHAAEAWUEAAAAAAAAAAAECAFlCAwAAAAAAAAABAwBZQQAAAAAAAAAAAgQAWUEAAAAAAAAAAAMFAFlCAwAAAAAAAAAEBgBZQgIAAAAAAAAABAcAWUEAAAAAAAAAAAUIAFlBAAAAAAAAAAAHCQBZQQAAAAAAAAAACAoAWUEAAAAAAAAAAAkLAFlCAAAAAAAAAAAJDABZQQAAAAAAAAAADA0AWUEAAAAAAAAAAA0OAFlCAAAAAAAAAAANDwBZQgAAAAAAAAAADQBEAFlBAAAAAAAAAAAARABEQFlCAgAAAAAAAAAARABEgFlBAAAAAAAAAAAAREBEwFlBAAAAAAAAAAAAREBFAFlBAAAAAAAAAAAARIBFQFlCAgAAAAAAAAAARMBFgFlCAAAAAAAAAAAARMBFwFlBAAAAAAAAAAAARQBGAFlCAgAAAAAAAAAARcBGQFlBAAAAAAAAAAAARkBGgFlBAAAAAAAAAAAFBgBZQQAAAAAAAAAAAEVARgBZQQAAAAAAAAAAAAAAAA=</t>
        </r>
      </text>
    </comment>
    <comment ref="A70" authorId="0" shapeId="0" xr:uid="{B40EE74D-269A-49A4-BA7A-C06AA03448FE}">
      <text>
        <r>
          <rPr>
            <sz val="9"/>
            <color indexed="81"/>
            <rFont val="Segoe UI"/>
            <charset val="1"/>
          </rPr>
          <t>Insight iXlW00001C0000070R0080105531S00000138P01452LAocjBAQBF1NjaVRlZ2ljLmRhdGEuTW9sZWN1bGUBbwF/ARJTY2lUZWdpYy5Nb2xlY3VsZQAAAQFkAv5qAQAAAAIAAgETAREAAAD8/AD8AAIAAAAAAADwvwAAAAAAABgAAAD8/AD8AAIAAAAAAADwvwKgibDh6ZWivwIfFmpN8474PwAAAAAYAAAA/PwA/AACAAAAAAAA8L8CnaIjufyH8z8C87BQa5p3AkAAAAAAGAAAAPz8APwAAgAAAAAAAPC/Au9aQj7o2fW/AvOwUGuadwJAAAAAACAAAAD8/AD8AAIAAAAAAADwvwKLjuTyH9IDQAL77evAOSP5PwAAAAAYAAAA/PwA/AACAAAAAAAA8L8CUB4Wak3z8j8CyuU/pN++DkAAAAAAGAAAAPz8APwAAgAAAAAAAPC/AssyxLEubva/AsrlP6Tfvg5AAAAAABgAAAD8/AD8AAIAAAAAAADwvwLHSzeJQeANQALhnBGlvcECQAAAAAABEQAAAPz8APwAAgAAAAAAAPC/AtNNYhBYuQNAAnulLEMcaxJAAAAAABgAAAD8/AD8AAIAAAAAAADwvwKQwvUoXI/CvwLWxW00gHcSQAAAAAABEQAAAPz8APwAAgAAAAAAAPC/Au9aQj7o2QXAAtbFbTSAdxJAAAAAABgAAAD8/AD8AAIAAAAAAADwvwKCBMWPMfcTQAJIcvkP6bf5PwAAAAAYAAAA/PwA/AACAAAAAAAA8L8CoYmw4emVDUAC8KfGSzcJD0AAAAAAGAAAAPz8APwAAgAAAAAAAPC/AiBj7lpC/hhAAgdfmEwVDANAAAAAABgAAAD8/AD8AAIAAAAAAADwvwJuowG8BdITQALqJjEIrJwSQAAAAAAYAAAA/PwA/AACAAAAAAAA8L8CDQIrhxbZGEACF2pN845TD0AAAAAAHAAEAPz8APwAAgAAAAAAAPC/AqtgVFIn4B1AAuGcEaW9wRJAAAAAACAAAAD8/AD8AAIAAAAAAADwvwK06nO1FbsdQAJoImx4euUYQAAAAAAgAPwA/PwA/AACAAAAAAAA8L8CM1UwKqlzIUACBVYOLbKdD0AAAAAAARQABAFlBAAAAAAAAAAABAgBZQgIAAAAAAAAAAQMAWUEAAAAAAAAAAAIEAFlBAAAAAAAAAAACBQBZQQAAAAAAAAAAAwYAWUIDAAAAAAAAAAQHAFlBAAAAAAAAAAAFCABZQQAAAAAAAAAABQkAWUICAAAAAAAAAAYKAFlBAAAAAAAAAAAHCwBZQgMAAAAAAAAABwwAWUEAAAAAAAAAAAsNAFlBAAAAAAAAAAAMDgBZQgIAAAAAAAAADQ8AWUIDAAAAAAAAAA8ARABZQQAAAAAAAAAAAEQAREBZQgAAAAAAAAAAAEQARIBZQQAAAAAAAAAABgkAWUEAAAAAAAAAAA4PAFlBAAAAAAAAAAAAAAAAA==</t>
        </r>
      </text>
    </comment>
    <comment ref="A71" authorId="0" shapeId="0" xr:uid="{53391254-43D5-4469-81E7-09232B152AB5}">
      <text>
        <r>
          <rPr>
            <sz val="9"/>
            <color indexed="81"/>
            <rFont val="Segoe UI"/>
            <charset val="1"/>
          </rPr>
          <t>Insight iXlW00001C0000071R0080105531S00000140P01056LAocjBAQBF1NjaVRlZ2ljLmRhdGEuTW9sZWN1bGUBbwF/ARJTY2lUZWdpYy5Nb2xlY3VsZQAAAQFkAv5qAQAAAAIAAjgBEQAAAPz8APwAAgAAAAAAAPC/AAAAAAAAGAAAAPz8APwAAgAAAAAAAPC/AoiFWtO84/Q/AqwcWmQ73+c/AAAAABgAAAD8/AD8AAIAAAAAAADwvwKIhVrTvOP0PwIWjErqBDQCQAAAAAAYAAAA/PwA/AACAAAAAAAA8L8C9I5TdCSXBEAAAAAAABgAAAD8/AD8AAIAAAAAAADwvwL0jlN0JJcEQAI2zTtO0ZEIQAAAAAAYAAAA/PwA/AACAAAAAAAA8L8CFGHD0ytlib8Cfoy5awn5B0AAAAAAGAAAAPz8APwAAgAAAAAAAPC/Alyxv+yevA5AAoIExY8xd+k/AAAAABgAAAD8/AD8AAIAAAAAAADwvwJcsb/snrwOQAILRiV1ApoCQAAAAAAcAAAA/PwA/AACAAAAAAAA8L8C4umVsgxxFEACNe84RUdyqT8AAAAAGAAAAPz8APwAAgAAAAAAAPC/Ahb7y+7JgxlAAnWTGARWDus/AAAAACAAAAD8/AD8AAIAAAAAAADwvwIbnl4py1AZQAKFDU+vlGUDQAAAAAAcAAAA/PwA/AACAAAAAAAA8L8CLiEf9GyWHkACRrbz/dR4uT8AAAAAGAAAAPz8APwAAgAAAAAAAPC/AjGZKhiV1CFAAkt7gy9Mpuw/AAAAABgAAAD8/AD8AAIAAAAAAADwvwJPr5RliGMeQAL3Bl+YTBX2vwAAAAA4AAQBZQQAAAAAAAAAAAQIAWUIDAAAAAAAAAAEDAFlBAAAAAAAAAAACBABZQQAAAAAAAAAAAgUAWUEAAAAAAAAAAAMGAFlCAwAAAAAAAAAEBwBZQgIAAAAAAAAABggAWUEAAAAAAAAAAAgJAFlBAAAAAAAAAAAJCgBZQgAAAAAAAAAACQsAWUEAAAAAAAAAAAsMAFlBAAAAAAAAAAALDQBZQQAAAAAAAAAABgcAWUEAAAAAAAAAAAAAAAA</t>
        </r>
      </text>
    </comment>
    <comment ref="A72" authorId="0" shapeId="0" xr:uid="{9EE61822-3EE0-42C6-93D0-760409C3A1D1}">
      <text>
        <r>
          <rPr>
            <sz val="9"/>
            <color indexed="81"/>
            <rFont val="Segoe UI"/>
            <charset val="1"/>
          </rPr>
          <t>Insight iXlW00001C0000072R0080105531S00000142P01508LAocjBAQBF1NjaVRlZ2ljLmRhdGEuTW9sZWN1bGUBbwF/ARJTY2lUZWdpYy5Nb2xlY3VsZQAAAQFkAv5qAQAAAAIAAgEUAREAAAD8/AD8AAIAAAAAAADwvwAAAAAAABgAAAD8/AD8AAIAAAAAAADwvwINAiuHFtn0PwJWDi2yne/nPwAAAAAYAAAA/PwA/AACAAAAAAAA8L8CDQIrhxbZ9D8CwcqhRbbzAUAAAAAAGAAAAPz8APwAAgAAAAAAAPC/AtQrZRni2ARAAAAAAAAYAAAA/PwA/AACAAAAAAAA8L8C1CtlGeLYBEACVg4tsp3vB0AAAAAAGAAAAPz8APwAAgAAAAAAAPC/Atqs+lxtRQ9AAlYOLbKd7+c/AAAAABgAAAD8/AD8AAIAAAAAAADwvwLarPpcbUUPQALByqFFtvMBQAAAAAAgAAAA/PwA/AACAAAAAAAA8L8C8BZIUPzYFEACVg4tsp3vB0AAAAAAGAAAAPz8APwAAgAAAAAAAPC/Ag8tsp3vJxpAAoofY+5awgFAAAAAABgAAAD8/AD8AAIAAAAAAADwvwKqglFJnUAaQALEsS5uowHmPwAAAAAYAAAA/PwA/AACAAAAAAAA8L8C2qz6XG1FH0ACn82qz9XWB0AAAAAAGAAAAPz8APwAAgAAAAAAAPC/ApLtfD81Xh9AAh3J5T+k366/AAAAABgAAAD8/AD8AAIAAAAAAADwvwLhC5OpgjEiQAIJih9j7toBQAAAAAAYAAAA/PwA/AACAAAAAAAA8L8Cr7Zif9k9IkACwFsgQfFj5j8AAAAAHAAAAPz8APwAAgAAAAAAAPC/AiNseHqlzCRAAl8pyxDHuqi/AAAAABgAAAD8/AD8AAIAAAAAAADwvwIJrBxaZFsnQAKeXinLEMfmPwAAAAAgAAAA/PwA/AACAAAAAAAA8L8COwFNhA1PJ0ACwcqhRbbzAUAAAAAAHAAAAPz8APwAAgAAAAAAAPC/Au7rwDkj6ilAAn/7OnDOiKK/AAAAABgAAAD8/AD8AAIAAAAAAADwvwJiodY073gsQAJ8YTJVMCrnPwAAAAAYAAAA/PwA/AACAAAAAAAA8L8CIUHxY8zdKUACw2SqYFRS+L8AAAAAARUABAFlBAAAAAAAAAAABAgBZQgMAAAAAAAAAAQMAWUEAAAAAAAAAAAIEAFlBAAAAAAAAAAADBQBZQgIAAAAAAAAABAYAWUIDAAAAAAAAAAYHAFlBAAAAAAAAAAAHCABZQQAAAAAAAAAACAkAWUIDAAAAAAAAAAgKAFlBAAAAAAAAAAAJCwBZQQAAAAAAAAAACgwAWUICAAAAAAAAAAsNAFlCAwAAAAAAAAANDgBZQQAAAAAAAAAADg8AWUEAAAAAAAAAAA8ARABZQgAAAAAAAAAADwBEQFlBAAAAAAAAAAAAREBEgFlBAAAAAAAAAAAAREBEwFlBAAAAAAAAAAAFBgBZQQAAAAAAAAAADA0AWUEAAAAAAAAAAAAAAAA</t>
        </r>
      </text>
    </comment>
    <comment ref="A73" authorId="0" shapeId="0" xr:uid="{05F206A7-CFA1-4651-A384-1D9976AE1FB0}">
      <text>
        <r>
          <rPr>
            <sz val="9"/>
            <color indexed="81"/>
            <rFont val="Segoe UI"/>
            <charset val="1"/>
          </rPr>
          <t>Insight iXlW00001C0000073R0080105531S00000144P01392LAocjBAQBF1NjaVRlZ2ljLmRhdGEuTW9sZWN1bGUBbwF/ARJTY2lUZWdpYy5Nb2xlY3VsZQAAAQFkAv5qAQAAAAIAAgESAREAAAD8/AD8AAIAAAAAAADwvwAAAAAAABgAAAD8/AD8AAIAAAAAAADwvwKTOgFNhA31vwLQ1VbsL7vnvwAAAAAYAAAA/PwA/AACAAAAAAAA8L8CHjhnRGlv9b8CFoxK6gS0AcAAAAAAGAAAAPz8APwAAgAAAAAAAPC/ApM6AU2EDQXAArdif9k9eZg/AAAAABgAAAD8/AD8AAIAAAAAAADwvwJYObTIdj4FwAKKQWDl0KIHwAAAAAAYAAAA/PwA/AACAAAAAAAA8L8CpAG8BRKUD8ACutqK/WX35r8AAAAAGAAAAPz8APwAAgAAAAAAAPC/AqLWNO84xQ/AAlCNl24SgwHAAAAAABwAAAD8/AD8AAIAAAAAAADwvwLZzvdT4yUVwALEQq1p3nEHwAAAAAAYAAAA/PwA/AACAAAAAAAA8L8CBFYOLbLdFcACc9cS8kGPEcAAAAAAGAAAAPz8APwAAgAAAAAAAPC/AsOGp1fKshrAAp5eKcsQRwLAAAAAACAAAAD8/AD8AAIAAAAAAADwvwJz1xLyQY8RwAIeOGdEaW8VwAAAAAAYAAAA/PwA/AACAAAAAAAA8L8CeAskKH7MG8ACaZHtfD+1EsAAAAAAIAAAAPz8APwAAgAAAAAAAPC/An0/NV66CRzAAvd14JwRpem/AAAAABgAAAD8/AD8AAIAAAAAAADwvwIy5q4l5MMewAKIhVrTvOMKwAAAAAAYAAAA/PwA/AACAAAAAAAA8L8ClWWIY13cHsACLPaX3ZPHF8AAAAAAGAAAAPz8APwAAgAAAAAAAPC/AiQofoy5ayLAAsOGp1fKsgrAAAAAABgAAAD8/AD8AAIAAAAAAADwvwJkXdxGA3giwALJdr6fGq8XwAAAAAAYAAAA/PwA/AACAAAAAAAA8L8CIbByaJHtI8ACJCh+jLlrEsAAAAAAARQABAFlBAAAAAAAAAAABAgBZQgMAAAAAAAAAAQMAWUEAAAAAAAAAAAIEAFlBAAAAAAAAAAADBQBZQgIAAAAAAAAABAYAWUIDAAAAAAAAAAYHAFlBAAAAAAAAAAAHCABZQQAAAAAAAAAABwkAWUEAAAAAAAAAAAgKAFlCAAAAAAAAAAAICwBZQQAAAAAAAAAACQwAWUIAAAAAAAAAAAkNAFlBAAAAAAAAAAALDgBZQQAAAAAAAAAADQ8AWUEAAAAAAAAAAA4ARABZQQAAAAAAAAAADwBEQFlBAAAAAAAAAAAFBgBZQQAAAAAAAAAACw0AWUICAAAAAAAAAABEAERAWUEAAAAAAAAAAAAAAAA</t>
        </r>
      </text>
    </comment>
    <comment ref="A74" authorId="0" shapeId="0" xr:uid="{5E7AD72E-F632-4CBC-95A3-946F93E1FCD2}">
      <text>
        <r>
          <rPr>
            <sz val="9"/>
            <color indexed="81"/>
            <rFont val="Segoe UI"/>
            <charset val="1"/>
          </rPr>
          <t>Insight iXlW00001C0000074R0080105531S00000146P01504LAocjBAQBF1NjaVRlZ2ljLmRhdGEuTW9sZWN1bGUBbwF/ARJTY2lUZWdpYy5Nb2xlY3VsZQAAAQFkAv5qAQAAAAIAAgEUAREAAAD8/AD8AAIAAAAAAADwvwAAAAAAABgAAAD8/AD8AAIAAAAAAADwvwIzxLEubqP0PwL/Q/rt68DnvwAAAAAYCAAA/PwA/AACAAAAAAAA8L8CE/JBz2bV9D8Cz/dT46UbAsAAAAAAHAAAAPz8APwAAgAAAAAAAPC/AgMJih9j7gRAAnbgnBGlPQjAAAAAABgAAAD8/AD8AAIAAAAAAADwvwLkpZvEILCivwLfcYqO5PIHwAAAAAAYAAAA/PwA/AACAAAAAAAA8L8C/Rhz1xJyD0ACz/dT46UbAsAAAAAAGAAAAPz8APwAAgAAAAAAAPC/AiL99nXgnPW/AjiJQWDl0AHAAAAAACAAAAD8/AD8AAIAAAAAAADwvwK0WfW52ooPQAJ/+zpwzojovwAAAAAgAAAA/PwA/AACAAAAAAAA8L8Ct9EA3gLJFEACz4jS3uALCMAAAAAAGAAAAPz8APwAAgAAAAAAAPC/AvAWSFD82BlAAjiJQWDl0AHAAAAAABgAAAD8/AD8AAIAAAAAAADwvwIpXI/C9egeQAI3GsBbIMEHwAAAAAAYAAAA/PwA/AACAAAAAAAA8L8Cpd++DpyzGUACAiuHFtnO5b8AAAAAGAAAAPz8APwAAgAAAAAAAPC/ArFQa5p3/CFAAqAaL90khgHAAAAAABgAAAD8/AD8AAIAAAAAAADwvwLeJAaBlcMeQALlYaHWNO+4PwAAAAAcAAAA/PwA/AACAAAAAAAA8L8CTvOOU3SEJEACoKut2F92B8AAAAAAGAAAAPz8APwAAgAAAAAAAPC/Agu1pnnH6SFAAqRwPQrXo+S/AAAAABgAAAD8/AD8AAIAAAAAAADwvwLqlbIMcQwnQAIIrBxaZDsBwAAAAAAgAAAA/PwA/AACAAAAAAAA8L8CRPrt68D5JkACRrbz/dR4478AAAAAIAAAAPz8APwAAgAAAAAAAPC/Aoc41sVtlClAAgg9m1WfKwfAAAAAABgAAAD8/AD8AAIAAAAAAADwvwIj2/l+ahwsQAI4Z0Rpb/AAwAAAAAABFAAEAWUEAAAAAAAAAAAECAFlBAAAAAAAAAAACAwBZQQQAAAAAAAAAAgQAWUEAAAAAAAAAAAMFAFlBAAAAAAAAAAAEBgBZQQAAAAAAAAAABQcAWUIAAAAAAAAAAAUIAFlBAAAAAAAAAAAICQBZQQAAAAAAAAAACQoAWUIDAAAAAAAAAAkLAFlBAAAAAAAAAAAKDABZQQAAAAAAAAAACw0AWUICAAAAAAAAAAwOAFlBAAAAAAAAAAAMDwBZQgIAAAAAAAAADgBEAFlBAAAAAAAAAAAARABEQFlCAAAAAAAAAAAARABEgFlBAAAAAAAAAAAARIBEwFlBAAAAAAAAAAANDwBZQQAAAAAAAAAAAAAAAA=</t>
        </r>
      </text>
    </comment>
    <comment ref="A75" authorId="0" shapeId="0" xr:uid="{9DF85AC2-4125-4C42-88EE-5D4B14879D2F}">
      <text>
        <r>
          <rPr>
            <sz val="9"/>
            <color indexed="81"/>
            <rFont val="Segoe UI"/>
            <charset val="1"/>
          </rPr>
          <t>Insight iXlW00001C0000075R0080105531S00000148P01048LAocjBAQBF1NjaVRlZ2ljLmRhdGEuTW9sZWN1bGUBbwF/ARJTY2lUZWdpYy5Nb2xlY3VsZQAAAQFkAv5qAQAAAAIAAjgBEQAAAPz8APwAAgAAAAAAAPC/AAAAAAAAGAAAAPz8APwAAgAAAAAAAPC/AtS84xQdyfQ/AjojSnuDL+g/AAAAABgAAAD8/AD8AAIAAAAAAADwvwLUvOMUHckEQAAAAAAAGAAAAPz8APwAAgAAAAAAAPC/AtS84xQdyfQ/ApayDHGsCwJAAAAAABgAAAD8/AD8AAIAAAAAAADwvwI9m1Wfqy0PQAI6I0p7gy/oPwAAAAAYAAAA/PwA/AACAAAAAAAA8L8C1LzjFB3JBEACj1N0JJf/B0AAAAAAHAAAAPz8APwAAgAAAAAAAPC/AvCnxks3yRRAAAAAAAAYAAAA/PwA/AACAAAAAAAA8L8CPZtVn6stD0AClrIMcawLAkAAAAAAGAAAAPz8APwAAgAAAAAAAPC/AvCnxks3yRRAAo9TdCSX//e/AAAAACAAAAD8/AD8AAIAAAAAAADwvwI9m1Wfqy0PQAKI9NvXgfMBwAAAAAAgAAAA/PwA/AACAAAAAAAA8L8CJZf/kH77GUACiPTb14HzAcAAAAAAGAAAAPz8APwAAgAAAAAAAPC/AiWX/5B++xlAAlAeFmpN8w3AAAAAABgAAAD8/AD8AAIAAAAAAADwvwJahjjWxS0fQAKI9NvXgfMRwAAAAAAYAAAA/PwA/AACAAAAAAAA8L8C8KfGSzfJFEACqz5XW7H/EcAAAAAAOAAEAWUEAAAAAAAAAAAECAFlCAwAAAAAAAAABAwBZQQAAAAAAAAAAAgQAWUEAAAAAAAAAAAMFAFlCAgAAAAAAAAAEBgBZQQAAAAAAAAAABAcAWUICAAAAAAAAAAYIAFlBAAAAAAAAAAAICQBZQgAAAAAAAAAACAoAWUEAAAAAAAAAAAoLAFlBAAAAAAAAAAALDABZQQAAAAAAAAAACw0AWUEAAAAAAAAAAAUHAFlBAAAAAAAAAAAAAAAAA==</t>
        </r>
      </text>
    </comment>
    <comment ref="A76" authorId="0" shapeId="0" xr:uid="{99CB9272-601C-42FA-8282-0B45B7061503}">
      <text>
        <r>
          <rPr>
            <sz val="9"/>
            <color indexed="81"/>
            <rFont val="Segoe UI"/>
            <charset val="1"/>
          </rPr>
          <t>Insight iXlW00001C0000076R0080105531S00000150P01700LAocjBAQBF1NjaVRlZ2ljLmRhdGEuTW9sZWN1bGUBbwF/ARJTY2lUZWdpYy5Nb2xlY3VsZQAAAQFkAv5qAQAAAAIAAgEXAREAAAD8/AD8AAIAAAAAAADwvwAAAAAAABgAAAD8/AD8AAIAAAAAAADwvwICK4cW2c7nPwLUvOMUHcn0vwAAAAAYAAAA/PwA/AACAAAAAAAA8L8CiPTb14HzAUAC1LzjFB3J9L8AAAAAGAAAAPz8APwAAgAAAAAAAPC/Au0NvjCZKoi/AtS84xQdyQTAAAAAAAEQAAAA/PwA/AACAAAAAAAA8L8Cj1N0JJf/B0AAAAAAABgAAAD8/AD8AAIAAAAAAADwvwKBlUOLbOcHQALUvOMUHckEwAAAAAAYAAAA/PwA/AACAAAAAAAA8L8CAiuHFtnO5z8CPZtVn6stD8AAAAAAIAAAAPz8APwAAgAAAAAAAPC/AlAeFmpN8w1AAtS84xQdyfQ/AAAAACAAAAD8/AD8AAIAAAAAAADwvwJL6gQ0ETb7PwI6I0p7gy/oPwAAAAAcAAAA/PwA/AACAAAAAAAA8L8C/Rhz1xIyEUACAiuHFtnO578AAAAAGAAAAPz8APwAAgAAAAAAAPC/Aoj029eB8wFAAj2bVZ+rLQ/AAAAAABgAAAD8/AD8AAIAAAAAAADwvwIxCKwcWmQWQAAAAAAAIAAAAPz8APwAAgAAAAAAAPC/AjEIrBxaZBZAAo9TdCSX//c/AAAAABwAAAD8/AD8AAIAAAAAAADwvwJm9+RhoZYbQAI6I0p7gy/ovwAAAAAYAAAA/PwA/AACAAAAAAAA8L8CTvOOU3RkIEAAAAAAABwAAAD8/AD8AAIAAAAAAADwvwJO845TdGQgQAKPU3Qkl//3PwAAAAAcAAAA/PwA/AACAAAAAAAA8L8C6Gor9pf9IkACOiNKe4Mv6L8AAAAAGAAAAPz8APwAAgAAAAAAAPC/AuhqK/aX/SJAAoj029eB8wFAAAAAABgAAAD8/AD8AAIAAAAAAADwvwKD4seYu5YlQAAAAAAAIAAAAPz8APwAAgAAAAAAAPC/AuhqK/aX/SJAAlAeFmpN8w1AAAAAABwAAAD8/AD8AAIAAAAAAADwvwKD4seYu5YlQAJz1xLyQc/3PwAAAAAYAAAA/PwA/AACAAAAAAAA8L8CHVpkO98vKEACOiNKe4Mv6L8AAAAAGAAAAPz8APwAAgAAAAAAAPC/Ak7zjlN0ZCBAAo9TdCSX/xFAAAAAAAEYAAQBZQQAAAAAAAAAAAQIAWUICAAAAAAAAAAEDAFlBAAAAAAAAAAACBABZQQAAAAAAAAAAAgUAWUEAAAAAAAAAAAMGAFlCAgAAAAAAAAAEBwBZQgAAAAAAAAAABAgAWUIAAAAAAAAAAAQJAFlBAAAAAAAAAAAFCgBZQgIAAAAAAAAACQsAWUEAAAAAAAAAAAsMAFlCAAAAAAAAAAALDQBZQQAAAAAAAAAADQ4AWUEAAAAAAAAAAA4PAFlCAwAAAAAAAAAOAEQAWUEAAAAAAAAAAA8AREBZQQAAAAAAAAAAAEQARIBZQgMAAAAAAAAAAERARMBZQQAAAAAAAAAAAERARQBZQgIAAAAAAAAAAESARUBZQQAAAAAAAAAAAETARYBZQQAAAAAAAAAABgoAWUEAAAAAAAAAAABEgEUAWUEAAAAAAAAAAAAAAAA</t>
        </r>
      </text>
    </comment>
    <comment ref="A77" authorId="0" shapeId="0" xr:uid="{FAEAFAC6-C4D3-4EC9-8B55-9A9D54AAE1F2}">
      <text>
        <r>
          <rPr>
            <sz val="9"/>
            <color indexed="81"/>
            <rFont val="Segoe UI"/>
            <charset val="1"/>
          </rPr>
          <t>Insight iXlW00001C0000077R0080105531S00000152P01308LAocjBAQBF1NjaVRlZ2ljLmRhdGEuTW9sZWN1bGUBbwF/ARJTY2lUZWdpYy5Nb2xlY3VsZQAAAQFkAv5qAQAAAAIAAgESAREAAAD8/AD8AAIAAAAAAADwvwAAAAAAABgAAAD8/AD8AAIAAAAAAADwvwInwoanV8r0vwLH3LWEfNDnvwAAAAAYAAAA/PwA/AACAAAAAAAA8L8CJ8KGp1fKBMAAAAAAABgAAAD8/AD8AAIAAAAAAADwvwInwoanV8r0vwKjI7n8h/QBwAAAAAABEQAAAPz8APwAAgAAAAAAAPC/AifChqdXygTAAuJYF7fRAPg/AAAAABgAAAD8/AD8AAIAAAAAAADwvwI6I0p7gy8PwALH3LWEfNDnvwAAAAAYAAAA/PwA/AACAAAAAAAA8L8CJ8KGp1fKBMAC4lgXt9EACMAAAAAAGAAAAPz8APwAAgAAAAAAAPC/AALiWBe30QAIwAAAAAAYAAAA/PwA/AACAAAAAAAA8L8COiNKe4MvD8ACoyO5/If0AcAAAAAAGAAAAPz8APwAAgAAAAAAAPC/AifChqdXyhTAAAAAAAABEQAAAPz8APwAAgAAAAAAAPC/AifChqdXygTAAsZtNIC3ABLAAAAAACAAAAD8/AD8AAIAAAAAAADwvwInwoanV8r0PwKjI7n8h/QBwAAAAAAgAAAA/PwA/AACAAAAAAAA8L8AAsZtNIC3ABLAAAAAAAERAAAA/PwA/AACAAAAAAAA8L8CJ8KGp1fKFMAC4lgXt9EACMAAAAAAIAAAAPz8APwAAgAAAAAAAPC/AifChqdXyhTAAuJYF7fRAPg/AAAAACAAAAD8/AD8AAIAAAAAAADwvwKwcmiR7fwZwALH3LWEfNDnvwAAAAAYAAAA/PwA/AACAAAAAAAA8L8CJ8KGp1fK9D8CXynLEMf6FMAAAAAAGAAAAPz8APwAAgAAAAAAAPC/AjojSnuDLx/AAAAAAAABEgAEAWUEAAAAAAAAAAAECAFlCAgAAAAAAAAABAwBZQQAAAAAAAAAAAgQAWUEAAAAAAAAAAAIFAFlBAAAAAAAAAAADBgBZQgMAAAAAAAAAAwcAWUEAAAAAAAAAAAUIAFlCAwAAAAAAAAAFCQBZQQAAAAAAAAAABgoAWUEAAAAAAAAAAAcLAFlCAAAAAAAAAAAHDABZQQAAAAAAAAAACA0AWUEAAAAAAAAAAAkOAFlCAAAAAAAAAAAJDwBZQQAAAAAAAAAADABEAFlBAAAAAAAAAAAPAERAWUEAAAAAAAAAAAYIAFlBAAAAAAAAAAAAAAAAA==</t>
        </r>
      </text>
    </comment>
    <comment ref="A78" authorId="0" shapeId="0" xr:uid="{9288B0DD-6B83-4149-AABC-CD2DFA6CDE4A}">
      <text>
        <r>
          <rPr>
            <sz val="9"/>
            <color indexed="81"/>
            <rFont val="Segoe UI"/>
            <charset val="1"/>
          </rPr>
          <t>Insight iXlW00001C0000078R0080105531S00000154P00828LAocjBAQBF1NjaVRlZ2ljLmRhdGEuTW9sZWN1bGUBbwF/ARJTY2lUZWdpYy5Nb2xlY3VsZQAAAQFkAv5qAQAAAAIAAiwBEQAAAPz8APwAAgAAAAAAAPC/AAAAAAAAGAAAAPz8APwAAgAAAAAAAPC/AvJjzF1LyPS/AiDSb18Hzue/AAAAABgAAAD8/AD8AAIAAAAAAADwvwLyY8xdS8j0vwKmm8QgsPIBwAAAAAAYAAAA/PwA/AACAAAAAAAA8L8C8mPMXUvIBMAAAAAAABgAAAD8/AD8AAIAAAAAAADwvwLyY8xdS8gEwAJ1JJf/kP4HwAAAAAAYAAAA/PwA/AACAAAAAAAA8L8AAnUkl/+Q/gfAAAAAABgAAAD8/AD8AAIAAAAAAADwvwLqlbIMcSwPwAIg0m9fB87nvwAAAAABEQAAAPz8APwAAgAAAAAAAPC/AvJjzF1LyATAAsnlP6Tf/hHAAAAAABgAAAD8/AD8AAIAAAAAAADwvwLqlbIMcSwPwAKmm8QgsPIBwAAAAAABEAAAAPz8APwAAgAAAAAAAPC/AALJ5T+k3/4RwAAAAAAcAAAA/PwA/AACAAAAAAAA8L8C8mPMXUvI9D8CppvEILDyAcAAAAAALAAEAWUEAAAAAAAAAAAECAFlCAwAAAAAAAAABAwBZQQAAAAAAAAAAAgQAWUEAAAAAAAAAAAIFAFlBAAAAAAAAAAADBgBZQgIAAAAAAAAABAcAWUEAAAAAAAAAAAQIAFlCAgAAAAAAAAAFCQBZQgAAAAAAAAAABQoAWUEAAAAAAAAAAAYIAFlBAAAAAAAAAAAAAAAAA==</t>
        </r>
      </text>
    </comment>
    <comment ref="A79" authorId="0" shapeId="0" xr:uid="{E2B472FE-E852-47C0-9A3C-E5D0434F9C2C}">
      <text>
        <r>
          <rPr>
            <sz val="9"/>
            <color indexed="81"/>
            <rFont val="Segoe UI"/>
            <charset val="1"/>
          </rPr>
          <t>Insight iXlW00001C0000079R0080105531S00000156P01960LAocjBAQBF1NjaVRlZ2ljLmRhdGEuTW9sZWN1bGUBbwF/ARJTY2lUZWdpYy5Nb2xlY3VsZQAAAQFkAv5qAQAAAAIAAgEaAREAAAD8/AD8AAIAAAAAAADwvwAAAAAAABgAAAD8/AD8AAIAAAAAAADwvwJ6xyk6ksv0vwLChqdXyjLovwAAAAAYAAAA/PwA/AACAAAAAAAA8L8CescpOpLL9L8CBOeMKO0NAsAAAAAAGAAAAPz8APwAAgAAAAAAAPC/AnrHKTqSywTAAu0NvjCZKoi/AAAAABgAAAD8/AD8AAIAAAAAAADwvwJ6xyk6kssEwAK1yHa+nxoIwAAAAAAYAAAA/PwA/AACAAAAAAAA8L8AAqcKRiV1AgjAAAAAABgAAAD8/AD8AAIAAAAAAADwvwJvgQTFjzEPwAL6fmq8dJPovwAAAAAYAAAA/PwA/AACAAAAAAAA8L8Cb4EExY8xD8ACEqW9wRcmAsAAAAAAGAAAAPz8APwAAgAAAAAAAPC/AAL9h/Tb1wESwAAAAAAcAAAA/PwA/AACAAAAAAAA8L8ClrIMcazLFMACwoanV8oyCMAAAAAAAREAAAD8/AD8AAIAAAAAAADwvwJ6xyk6ksv0vwLVeOkmMQgVwAAAAAAYAAAA/PwA/AACAAAAAAAA8L8CescpOpLL9D8CzhlR2hv8FMAAAAAAGAAAAPz8APwAAgAAAAAAAPC/Ailcj8L1aBXAAgTnjCjtDRLAAAAAABgAAAD8/AD8AAIAAAAAAADwvwK7SQwCK0cawAIqOpLLf0gDwAAAAAAgAAAA/PwA/AACAAAAAAAA8L8CescpOpLLBEAC/Yf029cBEsAAAAAAIAAAAPz8APwAAgAAAAAAAPC/AnrHKTqSy/Q/Alyxv+ye/BrAAAAAACAAAAD8/AD8AAIAAAAAAADwvwLzsFBrmvcQwALDZKpgVBIWwAAAAAAYAAAA/PwA/AACAAAAAAAA8L8CotY07zhFG8ACKjqSy39IE8AAAAAAIAAAAPz8APwAAgAAAAAAAPC/AuGcEaW9gRvAAuQUHcnlP+6/AAAAABgAAAD8/AD8AAIAAAAAAADwvwJ6xyk6kksewAKXkA96NisMwAAAAAAYAAAA/PwA/AACAAAAAAAA8L8CescpOpLLBEACLUMc6+L2HcAAAAAAGAAAAPz8APwAAgAAAAAAAPC/AnNoke18Px7AAgmsHFpkexjAAAAAABgAAAD8/AD8AAIAAAAAAADwvwISpb3BFyYiwAKXkA96NisMwAAAAAAYAAAA/PwA/AACAAAAAAAA8L8CescpOpLLBEAC6+I2GsD7IcAAAAAAGAAAAPz8APwAAgAAAAAAAPC/Ao51cRsNICLAAgmsHFpkexjAAAAAABgAAAD8/AD8AAIAAAAAAADwvwL77evAOaMjwAIqOpLLf0gTwAAAAAABHAAEAWUEAAAAAAAAAAAECAFlCAwAAAAAAAAABAwBZQQAAAAAAAAAAAgQAWUEAAAAAAAAAAAIFAFlBAAAAAAAAAAADBgBZQgIAAAAAAAAABAcAWUIDAAAAAAAAAAUIAFlCAgAAAAAAAAAHCQBZQQAAAAAAAAAACAoAWUEAAAAAAAAAAAgLAFlBAAAAAAAAAAAJDABZQQAAAAAAAAAACQ0AWUEAAAAAAAAAAAsOAFlCAAAAAAAAAAALDwBZQQAAAAAAAAAADABEAFlCAAAAAAAAAAAMAERAWUEAAAAAAAAAAA0ARIBZQgAAAAAAAAAADQBEwFlBAAAAAAAAAAAPAEUAWUEAAAAAAAAAAABEQEVAWUEAAAAAAAAAAABEwEWAWUEAAAAAAAAAAABFAEXAWUEAAAAAAAAAAABFQEYAWUEAAAAAAAAAAABFgEZAWUEAAAAAAAAAAAYHAFlBAAAAAAAAAAAAREBEwFlCAgAAAAAAAAAARgBGQFlBAAAAAAAAAAAAAAAAA==</t>
        </r>
      </text>
    </comment>
    <comment ref="A80" authorId="0" shapeId="0" xr:uid="{12C7DCD1-66D5-4C53-81A9-83326C4D4A0B}">
      <text>
        <r>
          <rPr>
            <sz val="9"/>
            <color indexed="81"/>
            <rFont val="Segoe UI"/>
            <charset val="1"/>
          </rPr>
          <t>Insight iXlW00001C0000080R0080105531S00000158P01536LAocjBAQBF1NjaVRlZ2ljLmRhdGEuTW9sZWN1bGUBbwF/ARJTY2lUZWdpYy5Nb2xlY3VsZQAAAQFkAv5qAQAAAAIAAgEUIAAAAPz8APwAAgAAAAAAAPC/AAAAAAAAGAAAAPz8APwAAgAAAAAAAPC/Am3n+6nx0uG/Ao51cRsN4PW/AAAAABgAAAD8/AD8AAIAAAAAAADwvwJt5/up8dLhvwKbd5yiI7n5PwAAAAAYAAAA/PwA/AACAAAAAAAA8L8Cbef7qfHS4b8C3gIJih/jBsAAAAAAGAAAAPz8APwAAgAAAAAAAPC/AnUkl/+Qfuc/An6utmJ/2eO/AAAAABgAAAD8/AD8AAIAAAAAAADwvwKneccpOpL9vwJ+rrZif9njvwAAAAAYAAAA/PwA/AACAAAAAAAA8L8CdSSX/5B+5z8ClrIMcayL6z8AAAAAGAAAAPz8APwAAgAAAAAAAPC/Aqd5xyk6kv2/ApayDHGsi+s/AAAAABgAAAD8/AD8AAIAAAAAAADwvwJt5/up8dLhvwLkg57Nqs8IQAAAAAAYAAAA/PwA/AACAAAAAAAA8L8Cp3nHKTqS/b8CBhIUP8bcDMAAAAAAGAAAAPz8APwAAgAAAAAAAPC/AnUkl/+Qfuc/AgYSFD/G3AzAAAAAACAAAAD8/AD8AAIAAAAAAADwvwIWjErqBDQAQAKbd5yiI7n5PwAAAAAYAAAA/PwA/AACAAAAAAAA8L8CDk+vlGWICkAClrIMcayL6z8AAAAAGAAAAPz8APwAAgAAAAAAAPC/AgMJih9jbhJAApt3nKIjufk/AAAAABgAAAD8/AD8AAIAAAAAAADwvwJ/arx0k5gXQAKWsgxxrIvrPwAAAAAYAAAA/PwA/AACAAAAAAAA8L8CAwmKH2NuEkAC5IOezarPCEAAAAAAGAAAAPz8APwAAgAAAAAAAPC/AvvL7snDwhxAApt3nKIjufk/AAAAABgAAAD8/AD8AAIAAAAAAADwvwJ/arx0k5gXQALGbTSAt0DkvwAAAAAYAAAA/PwA/AACAAAAAAAA8L8Cf2q8dJOYF0ACDJOpglHJDkAAAAAAGAAAAPz8APwAAgAAAAAAAPC/AvvL7snDwhxAAuSDns2qzwhAAAAAAAEWAAQBZQQAAAAAAAAAAAAIAWUEAAAAAAAAAAAEDAFlBAAAAAAAAAAABBABZQQAAAAAAAAAAAQUAWUEAAAAAAAAAAAIGAFlBAAAAAAAAAAACBwBZQQAAAAAAAAAAAggAWUEAAAAAAAAAAAMJAFlBAAAAAAAAAAADCgBZQQAAAAAAAAAABgsAWUEAAAAAAAAAAAsMAFlBAAAAAAAAAAAMDQBZQQAAAAAAAAAADQ4AWUIDAAAAAAAAAA0PAFlBAAAAAAAAAAAOAEQAWUEAAAAAAAAAAA4AREBZQQAAAAAAAAAADwBEgFlCAgAAAAAAAAAARABEwFlCAgAAAAAAAAAEBgBZQQAAAAAAAAAABQcAWUEAAAAAAAAAAABEgETAWUEAAAAAAAAAAAAAAAA</t>
        </r>
      </text>
    </comment>
    <comment ref="A81" authorId="0" shapeId="0" xr:uid="{69C64602-BC48-4AE2-813C-C6DD292F5C46}">
      <text>
        <r>
          <rPr>
            <sz val="9"/>
            <color indexed="81"/>
            <rFont val="Segoe UI"/>
            <charset val="1"/>
          </rPr>
          <t>Insight iXlW00001C0000081R0080105531S00000160P02088LAocjBAQBF1NjaVRlZ2ljLmRhdGEuTW9sZWN1bGUBbwF/ARJTY2lUZWdpYy5Nb2xlY3VsZQAAAQFkAv5qAQAAAAIAAgEcARAAAAD8/AD8AAIAAAAAAADwvwAAAAAAACAAAAD8/AD8AAIAAAAAAADwvwLUvOMUHcn0vwICK4cW2c7nPwAAAAAgAAAA/PwA/AACAAAAAAAA8L8CAiuHFtnO5z8C1LzjFB3J9D8AAAAAHAAAAPz8APwAAgAAAAAAAPC/AtS84xQdyfQ/AgIrhxbZzue/AAAAABgAAAD8/AD8AAIAAAAAAADwvwICK4cW2c7nvwLUvOMUHcn0vwAAAAAYAAAA/PwA/AACAAAAAAAA8L8C1LzjFB3JBEAC7Q2+MJkqiD8AAAAAGAAAAPz8APwAAgAAAAAAAPC/Aoj029eB8wHAAtS84xQdyfS/AAAAABgAAAD8/AD8AAIAAAAAAADwvwLtDb4wmSqIPwLUvOMUHckEwAAAAAAgAAAA/PwA/AACAAAAAAAA8L8C1LzjFB3JBEACq8/VVuwv+D8AAAAAHAAAAPz8APwAAgAAAAAAAPC/AnZxGw3gLQ9AAssyxLEubue/AAAAACAAAAD8/AD8AAIAAAAAAADwvwKPU3Qkl/8HwAAAAAAAGAAAAPz8APwAAgAAAAAAAPC/AoGVQ4ts5wfAAtS84xQdyQTAAAAAABgAAAD8/AD8AAIAAAAAAADwvwLLMsSxLm7nvwJ2cRsN4C0PwAAAAAAYAAAA/PwA/AACAAAAAAAA8L8C8KfGSzfJFEAC7Q2+MJkqmD8AAAAAGAAAAPz8APwAAgAAAAAAAPC/Aqs+V1ux/xHAAAAAAAAYAAAA/PwA/AACAAAAAAAA8L8CejarPlfbAcACdnEbDeAtD8AAAAAAHAAAAPz8APwAAgAAAAAAAPC/AvCnxks3yRRAAsdLN4lBYPg/AAAAABwAAAD8/AD8AAIAAAAAAADwvwIll/+QfvsZQAKTOgFNhA3nvwAAAAAYAAAA/PwA/AACAAAAAAAA8L8CE4PAyqEFFcAC1LzjFB3J9D8AAAAAGAAAAPz8APwAAgAAAAAAAPC/AiWX/5B++xlAAusENBE2PAJAAAAAABgAAAD8/AD8AAIAAAAAAADwvwJahjjWxS0fQALtDb4wmSqYPwAAAAAgAAAA/PwA/AACAAAAAAAA8L8C95fdk4cFG8AC1LzjFB3J9D8AAAAAIAAAAPz8APwAAgAAAAAAAPC/AiWX/5B++xlAAnpYqDXNOw5AAAAAABwAAAD8/AD8AAIAAAAAAADwvwJahjjWxS0fQALjx5i7lpD4PwAAAAAgAAAA/PwA/AACAAAAAAAA8L8Cx7q4jQYwIkACkzoBTYQN578AAAAAGAAAAPz8APwAAgAAAAAAAPC/AnrHKTqSCx7AAtS84xQdyQRAAAAAABgAAAD8/AD8AAIAAAAAAADwvwLwp8ZLN8kUQAK5/If02xcSQAAAAAAYAAAA/PwA/AACAAAAAAAA8L8Cx7q4jQYwIkACbHh6pSzDAcAAAAAAAR0ABAFlCAAAAAAAAAAAAAgBZQgAAAAAAAAAAAAMAWUEAAAAAAAAAAAAEAFlBAAAAAAAAAAADBQBZQQAAAAAAAAAABAYAWUICAAAAAAAAAAQHAFlBAAAAAAAAAAAFCABZQgAAAAAAAAAABQkAWUEAAAAAAAAAAAYKAFlBAAAAAAAAAAAGCwBZQQAAAAAAAAAABwwAWUICAAAAAAAAAAkNAFlBAAAAAAAAAAAKDgBZQQAAAAAAAAAACw8AWUICAAAAAAAAAA0ARABZQgMAAAAAAAAADQBEQFlBAAAAAAAAAAAOAESAWUEAAAAAAAAAAABEAETAWUEAAAAAAAAAAABEQEUAWUIDAAAAAAAAAABEgEVAWUEAAAAAAAAAAABEwEWAWUEAAAAAAAAAAABEwEXAWUICAAAAAAAAAABFAEYAWUEAAAAAAAAAAABFQEZAWUEAAAAAAAAAAABFgEaAWUEAAAAAAAAAAABGAEbAWUEAAAAAAAAAAAwPAFlBAAAAAAAAAAAARQBFwFlBAAAAAAAAAAAAAAAAA==</t>
        </r>
      </text>
    </comment>
    <comment ref="A82" authorId="0" shapeId="0" xr:uid="{AF3B2B08-9494-4D7E-B0EB-A4446828E190}">
      <text>
        <r>
          <rPr>
            <sz val="9"/>
            <color indexed="81"/>
            <rFont val="Segoe UI"/>
            <charset val="1"/>
          </rPr>
          <t>Insight iXlW00001C0000082R0080105531S00000162P01728LAocjBAQBF1NjaVRlZ2ljLmRhdGEuTW9sZWN1bGUBbwF/ARJTY2lUZWdpYy5Nb2xlY3VsZQAAAQFkAv5qAQAAAAIAAgEXAREAAAD8/AD8AAIAAAAAAADwvwAAAAAAABgAAAD8/AD8AAIAAAAAAADwvwJz1xLyQc/0vwL1SlmGONbnvwAAAAAYAAAA/PwA/AACAAAAAAAA8L8Cc9cS8kHP9L8CDeAtkKD4AcAAAAAAGAAAAPz8APwAAgAAAAAAAPC/AjsBTYQNzwTAAssyxLEu7gfAAAAAACAAAAD8/AD8AAIAAAAAAADwvwI7AU2EDc8EwAIqyxDHuvgRwAAAAAAcAAAA/PwA/AACAAAAAAAA8L8C9WxWfa42D8ACbAn5oGfzFMAAAAAAGAAAAPz8APwAAgAAAAAAAPC/AvVsVn2uNg/AAjC7Jw8L9RrAAAAAABgAAAD8/AD8AAIAAAAAAADwvwJX7C+7J88UwAKP5PIf0u8dwAAAAAAYAAAA/PwA/AACAAAAAAAA8L8COwFNhA3PBMACj+TyH9LvHcAAAAAAGAAAAPz8APwAAgAAAAAAAPC/Ahi30QDeAhrAAjC7Jw8L9RrAAAAAABgAAAD8/AD8AAIAAAAAAADwvwJX7C+7J88UwAIqyxDHuvghwAAAAAAYAAAA/PwA/AACAAAAAAAA8L8Cc9cS8kHP9L8CMLsnDwv1GsAAAAAAIAAAAPz8APwAAgAAAAAAAPC/Ahi30QDeAhrAAmwJ+aBn8xTAAAAAABgAAAD8/AD8AAIAAAAAAADwvwL1bFZ9rjYfwAKP5PIf0u8dwAAAAAAgAAAA/PwA/AACAAAAAAAA8L8C9WxWfa42D8ACS+oENBF2I8AAAAAAGAAAAPz8APwAAgAAAAAAAPC/Ahi30QDeAhrAAkvqBDQRdiPAAAAAABgAAAD8/AD8AAIAAAAAAADwvwL1bFZ9rjYfwAIqyxDHuvghwAAAAAAYAAAA/PwA/AACAAAAAAAA8L8CaZHtfD81IsACS+oENBF2I8AAAAAAGAAAAPz8APwAAgAAAAAAAPC/AlfsL7snzyTAAirLEMe6+CHAAAAAAAEQAAAA/PwA/AACAAAAAAAA8L8Ct9EA3gJpJ8ACS+oENBF2I8AAAAAAGAAAAPz8APwAAgAAAAAAAPC/AlfsL7snzyTAAo/k8h/S7x3AAAAAABgAAAD8/AD8AAIAAAAAAADwvwK30QDeAmknwAItQxzr4nYmwAAAAAAYAAAA/PwA/AACAAAAAAAA8L8CpixDHOsCKsACYAfOGVH6J8AAAAAAARcABAFlBAAAAAAAAAAABAgBZQgMAAAAAAAAAAgMAWUEAAAAAAAAAAAMEAFlBAAAAAAAAAAAEBQBZQQAAAAAAAAAABQYAWUIDAAAAAAAAAAYHAFlBAAAAAAAAAAAGCABZQQAAAAAAAAAABwkAWUICAAAAAAAAAAcKAFlBAAAAAAAAAAAICwBZQQAAAAAAAAAACQwAWUEAAAAAAAAAAAkNAFlBAAAAAAAAAAAKDgBZQgAAAAAAAAAACg8AWUEAAAAAAAAAAA0ARABZQQAAAAAAAAAAAEQAREBZQQAAAAAAAAAAAERARIBZQQAAAAAAAAAAAESARMBZQQAAAAAAAAAAAESARQBZQQAAAAAAAAAAAETARUBZQQAAAAAAAAAAAEVARYBZQQAAAAAAAAAADwBEAFlBAAAAAAAAAAAAAAAAA==</t>
        </r>
      </text>
    </comment>
    <comment ref="A83" authorId="0" shapeId="0" xr:uid="{CBBC14AE-13FF-4D3D-B2D7-30CC70C927AE}">
      <text>
        <r>
          <rPr>
            <sz val="9"/>
            <color indexed="81"/>
            <rFont val="Segoe UI"/>
            <charset val="1"/>
          </rPr>
          <t>Insight iXlW00001C0000083R0080105531S00000164P01784LAocjBAQBF1NjaVRlZ2ljLmRhdGEuTW9sZWN1bGUBbwF/ARJTY2lUZWdpYy5Nb2xlY3VsZQAAAQFkAv5qAQAAAAIBAgEYAREAAAD8/AD8AAIAAAAAAADwvwAAAAAAABgAAAD8/AD8AAIAAAAAAADwvwLyY8xdS8j0PwIg0m9fB87nPwAAAAAYAAAA/PwA/AACAAAAAAAA8L8C8mPMXUvIBEAAAAAAABgAAAD8/AD8AAIAAAAAAADwvwLyY8xdS8j0PwLfcYqO5PIBQAAAAAAcAAAA/PwA/AACAAAAAAAA8L8CI2x4eqUsD0ACINJvXwfO5z8AAAAAGAAAAPz8APwAAgAAAAAAAPC/AvJjzF1LyARAAnUkl/+Q/gdAAAAAABgAAAD8/AD8AAIAAAAAAADwvwIjbHh6pSwPQALfcYqO5PIBQAAAAAAkAAAA/PwA/AACAAAAAAAA8L8C8mPMXUvIBEAC5tAi2/n+EUAAAAAAIAAAAPz8APwAAgAAAAAAAPC/Ag5Pr5RlyBRAAnUkl/+Q/gdAAAAAABgAAAD8/AD8AAIAAAAAAADwvwIKaCJsePoZQALfcYqO5PIBQAAAAAAYAAAA/PwA/AACAAAAAAAA8L8CB4GVQ4ssH0ACdSSX/5D+B0AAAAAAGAAAAPz8APwAAgAAAAAAAPC/AgpoImx4+hlAAiDSb18Hzuc/AAAAABgAAAD8/AD8AAIAAAAAAADwvwIBTYQNTy8iQALfcYqO5PIBQAAAAAAYAAAA/PwA/AACAAAAAAAA8L8CB4GVQ4ssH0AAAAAAABgAAAD8/AD8AAIAAAAAAADwvwIBTYQNTy8iQAIg0m9fB87nPwAAAAAgAAAA/PwA/AACAAAAAAAA8L8CDk+vlGXIJEAAAAAAABgIAAD8/AD8AAIAAAAAAADwvwIOT6+UZcgkQAKt+lxtxf73vwAAAAAYAAAA/PwA/AACAAAAAAAA8L8CjNtoAG9hJ0AC7S+7Jw8LAsAAAAAAGAAAAPz8APwAAgAAAAAAAPC/AgFNhA1PLyJAAu0vuycPCwLAAAAAACAAAAD8/AD8AAIAAAAAAADwvwIKaCJsePopQAKt+lxtxf73vwAAAAAgAAAA/PwA/AACAAAAAAAA8L8CjNtoAG9hJ0ACQ61p3nEKDsAAAAAAGAAAAPz8APwAAgAAAAAAAPC/AgpoImx4+ilAAubQItv5/hHAAAAAABgAAAD8/AD8AAIAAAAAAADwvwIKaCJsePopQAJ1JJf/kP4XwAAAAAAYAAAA/PwA/AACAAAAAAAA8L8CCmgibHj6KUACIGPuWkL+HcAAAAAAARkABAFlBAAAAAAAAAAABAgBZQgMAAAAAAAAAAQMAWUEAAAAAAAAAAAIEAFlBAAAAAAAAAAADBQBZQgMAAAAAAAAABAYAWUIDAAAAAAAAAAUHAFlBAAAAAAAAAAAGCABZQQAAAAAAAAAACAkAWUEAAAAAAAAAAAkKAFlCAwAAAAAAAAAJCwBZQQAAAAAAAAAACgwAWUEAAAAAAAAAAAsNAFlCAgAAAAAAAAAMDgBZQgMAAAAAAAAADg8AWUEAAAAAAAAAAA8ARABZQQAAAAAAAAAAAEQAREBZQQAAAAAAAAAAAEQARIBZQQQAAAAAAAAAAERARMBZQgAAAAAAAAAAAERARQBZQQAAAAAAAAAAAEUARUBZQQAAAAAAAAAAAEVARYBZQQAAAAAAAAAAAEWARcBZQwAAAAAAAAAABQYAWUEAAAAAAAAAAA0OAFlBAAAAAAAAAAAAAAAAA==</t>
        </r>
      </text>
    </comment>
    <comment ref="A84" authorId="0" shapeId="0" xr:uid="{DA9CA706-5C12-4CE7-9468-BD1866B98E5A}">
      <text>
        <r>
          <rPr>
            <sz val="9"/>
            <color indexed="81"/>
            <rFont val="Segoe UI"/>
            <charset val="1"/>
          </rPr>
          <t>Insight iXlW00001C0000084R0080105531S00000166P01508LAocjBAQBF1NjaVRlZ2ljLmRhdGEuTW9sZWN1bGUBbwF/ARJTY2lUZWdpYy5Nb2xlY3VsZQAAAQFkAv5qAQAAAAIAAgEUAREAAAD8/AD8AAIAAAAAAADwvwAAAAAAABgAAAD8/AD8AAIAAAAAAADwvwLRItv5fmr1PwJ7pSxDHOvmPwAAAAAYAAAA/PwA/AACAAAAAAAA8L8CmG4Sg8DK9T8C8YXJVMGoAUAAAAAAGAAAAPz8APwAAgAAAAAAAPC/AkOtad5xCgVAAAAAAAAYAAAA/PwA/AACAAAAAAAA8L8Ctch2vp+aBUACM1UwKqmTB0AAAAAAGAAAAPz8APwAAgAAAAAAAPC/Aqw+V1uxvw9AAnulLEMc6+Y/AAAAABgAAAD8/AD8AAIAAAAAAADwvwKP5PIf0u8PQALxhclUwagBQAAAAAAgAAAA/PwA/AACAAAAAAAA8L8CGJXUCWgiFUACz4jS3uALCEAAAAAAGAAAAPz8APwAAgAAAAAAAPC/AgajkjoBTRpAAo25awn5IAJAAAAAABgAAAD8/AD8AAIAAAAAAADwvwLXxW00gHcfQAJrvHSTGIQIQAAAAAAYAAAA/PwA/AACAAAAAAAA8L8CFNBE2PA0GkAC63O1FfvL6D8AAAAAGAAAAPz8APwAAgAAAAAAAPC/AuLplbIMUSJAAintDb4wmQJAAAAAABgAAAD8/AD8AAIAAAAAAADwvwIB3gIJil8fQAIE54wo7Q2uPwAAAAAYAAAA/PwA/AACAAAAAAAA8L8CaQBvgQRFIkACW0I+6Nms6j8AAAAAIAAAAPz8APwAAgAAAAAAAPC/AmAHzhlR2iRAAgTnjCjtDb4/AAAAABgMAAD8/AD8AAIAAAAAAADwvwLnHafoSM4kQAJDPujZrPr1vwAAAAAYAAAA/PwA/AACAAAAAAAA8L8CT6+UZYhjJ0ACcayL22gAAcAAAAAAGAAAAPz8APwAAgAAAAAAAPC/Ao25awn5ICJAAnGsi9toAAHAAAAAACAAAAD8/AD8AAIAAAAAAADwvwJGtvP91PgpQAImUwWjkjr1vwAAAAAgAAAA/PwA/AACAAAAAAAA8L8CZTvfT41XJ0ACAwmKH2PuDMAAAAAAARUABAFlBAAAAAAAAAAABAgBZQgMAAAAAAAAAAQMAWUEAAAAAAAAAAAIEAFlBAAAAAAAAAAADBQBZQgIAAAAAAAAABAYAWUIDAAAAAAAAAAYHAFlBAAAAAAAAAAAHCABZQQAAAAAAAAAACAkAWUIDAAAAAAAAAAgKAFlBAAAAAAAAAAAJCwBZQQAAAAAAAAAACgwAWUICAAAAAAAAAAsNAFlCAwAAAAAAAAANDgBZQQAAAAAAAAAADg8AWUEAAAAAAAAAAA8ARABZQQAAAAAAAAAADwBEQFlBBQAAAAAAAAAARABEgFlCAAAAAAAAAAAARABEwFlBAAAAAAAAAAAFBgBZQQAAAAAAAAAADA0AWUEAAAAAAAAAAAAAAAA</t>
        </r>
      </text>
    </comment>
    <comment ref="A85" authorId="0" shapeId="0" xr:uid="{2BDC0814-E62F-4896-8DE2-6EF1976378F2}">
      <text>
        <r>
          <rPr>
            <sz val="9"/>
            <color indexed="81"/>
            <rFont val="Segoe UI"/>
            <charset val="1"/>
          </rPr>
          <t>Insight iXlW00001C0000085R0080105531S00000168P01208LAocjBAQBF1NjaVRlZ2ljLmRhdGEuTW9sZWN1bGUBbwF/ARJTY2lUZWdpYy5Nb2xlY3VsZQAAAQFkAv5qAQAAAAIAAgEQAREAAAD8/AD8AAIAAAAAAADwvwAAAAAAABgAAAD8/AD8AAIAAAAAAADwvwACoBov3SQG+L8AAAAAGAAAAPz8APwAAgAAAAAAAPC/AgIrhxbZzvQ/AtUJaCJs+AHAAAAAABgAAAD8/AD8AAIAAAAAAADwvwICK4cW2c70vwLjx5i7lhACwAAAAAAYAAAA/PwA/AACAAAAAAAA8L8CAiuHFtnO9D8C7MA5I0r7DcAAAAAAGAAAAPz8APwAAgAAAAAAAPC/AspUwaikzgRAAqAaL90kBvi/AAAAABgAAAD8/AD8AAIAAAAAAADwvwICK4cW2c70vwL6fmq8dBMOwAAAAAAYAAAA/PwA/AACAAAAAAAA8L8AArkehetR+BHAAAAAABwAAAD8/AD8AAIAAAAAAADwvwJL6gQ0ETYPQALVCWgibPgBwAAAAAAgAAAA/PwA/AACAAAAAAAA8L8C1QloImw4EEAC3gIJih/jDcAAAAAAGAAAAPz8APwAAgAAAAAAAPC/AixlGeJYFxVAArXIdr6fGvq/AAAAABgAAAD8/AD8AAIAAAAAAADwvwJMyAc9mxUWQALOqs/VViwQwAAAAAAgAAAA/PwA/AACAAAAAAAA8L8Ci47k8h9SFkACyXa+nxovxb8AAAAAGAAAAPz8APwAAgAAAAAAAPC/ApVliGNdHBlAAhvAWyBB8QXAAAAAABgAAAD8/AD8AAIAAAAAAADwvwL+ZffkYSEdQAK1yHa+nxr6vwAAAAAYAAAA/PwA/AACAAAAAAAA8L8C7MA5I0r7HUAC8KfGSzcJDcAAAAAAAREABAFlBAAAAAAAAAAABAgBZQgMAAAAAAAAAAQMAWUEAAAAAAAAAAAIEAFlBAAAAAAAAAAACBQBZQQAAAAAAAAAAAwYAWUICAAAAAAAAAAQHAFlCAgAAAAAAAAAFCABZQQAAAAAAAAAACAkAWUEAAAAAAAAAAAgKAFlBAAAAAAAAAAAJCwBZQQAAAAAAAAAACgwAWUIAAAAAAAAAAAoNAFlBAAAAAAAAAAANDgBZQQAAAAAAAAAADQ8AWUEAAAAAAAAAAAYHAFlBAAAAAAAAAAALDQBZQQAAAAAAAAAAAAAAAA=</t>
        </r>
      </text>
    </comment>
    <comment ref="A86" authorId="0" shapeId="0" xr:uid="{7323CD76-1FA0-4035-A6EC-1879F217CAA4}">
      <text>
        <r>
          <rPr>
            <sz val="9"/>
            <color indexed="81"/>
            <rFont val="Segoe UI"/>
            <charset val="1"/>
          </rPr>
          <t>Insight iXlW00001C0000086R0080105531S00000170P01564LAocjBAQBF1NjaVRlZ2ljLmRhdGEuTW9sZWN1bGUBbwF/ARJTY2lUZWdpYy5Nb2xlY3VsZQAAAQFkAv5qAQAAAAIAAgEVAREAAAD8/AD8AAIAAAAAAADwvwAAAAAAABgAAAD8/AD8AAIAAAAAAADwvwJFaW/whcn0vwIcfGEyVTDovwAAAAAYAAAA/PwA/AACAAAAAAAA8L8CRWlv8IXJ9L8CB1+YTBUMAsAAAAAAGAAAAPz8APwAAgAAAAAAAPC/An0/NV66yQTAAAAAAAAgAAAA/PwA/AACAAAAAAAA8L8AAjnWxW00AAjAAAAAABgAAAD8/AD8AAIAAAAAAADwvwJ9PzVeuskEwAI51sVtNAAIwAAAAAAYAAAA/PwA/AACAAAAAAAA8L8CIPRsVn0uD8ACHHxhMlUw6L8AAAAAGAAAAPz8APwAAgAAAAAAAPC/An0/NV66yQTAAgAAAAAAAPg/AAAAABgMAAD8/AD8AAIAAAAAAADwvwJFaW/whcn0PwIHX5hMFQwCwAAAAAAYAAAA/PwA/AACAAAAAAAA8L8CIPRsVn0uD8ACB1+YTBUMAsAAAAAAAREAAAD8/AD8AAIAAAAAAADwvwJhVFInoMkUwAAAAAAAGAAAAPz8APwAAgAAAAAAAPC/An0/NV66yQRAAjnWxW00AAjAAAAAABgAAAD8/AD8AAIAAAAAAADwvwJFaW/whcn0PwIcfGEyVTDovwAAAAAgAAAA/PwA/AACAAAAAAAA8L8CIPRsVn0uD0ACB1+YTBUMAsAAAAAAHAAAAPz8APwAAgAAAAAAAPC/An0/NV66yQRAAh3r4jYaABLAAAAAABgAAAD8/AD8AAIAAAAAAADwvwIg9GxWfS4PQAKgGi/dJAYVwAAAAAAYAAAA/PwA/AACAAAAAAAA8L8CYVRSJ6DJFEACHeviNhoAEsAAAAAAGAAAAPz8APwAAgAAAAAAAPC/AiD0bFZ9Lg9AAqAaL90kBhvAAAAAABgAAAD8/AD8AAIAAAAAAADwvwLOGVHaG/wZQAKgGi/dJAYVwAAAAAAYAAAA/PwA/AACAAAAAAAA8L8CYVRSJ6DJFEACHeviNhoAHsAAAAAAGAAAAPz8APwAAgAAAAAAAPC/As4ZUdob/BlAAqAaL90kBhvAAAAAAAEWAAQBZQQAAAAAAAAAAAQIAWUICAAAAAAAAAAEDAFlBAAAAAAAAAAACBABZQQAAAAAAAAAAAgUAWUEAAAAAAAAAAAMGAFlCAwAAAAAAAAADBwBZQQAAAAAAAAAABAgAWUEAAAAAAAAAAAUJAFlCAgAAAAAAAAAGCgBZQQAAAAAAAAAACAsAWUEAAAAAAAAAAAgMAFlBBAAAAAAAAAALDQBZQgAAAAAAAAAACw4AWUEAAAAAAAAAAA4PAFlBAAAAAAAAAAAPAEQAWUIDAAAAAAAAAA8AREBZQQAAAAAAAAAAAEQARIBZQQAAAAAAAAAAAERARMBZQgIAAAAAAAAAAESARQBZQgIAAAAAAAAABgkAWUEAAAAAAAAAAABEwEUAWUEAAAAAAAAAAAAAAAA</t>
        </r>
      </text>
    </comment>
    <comment ref="A87" authorId="0" shapeId="0" xr:uid="{91838D56-E8DF-4227-8CD9-D26F818658B8}">
      <text>
        <r>
          <rPr>
            <sz val="9"/>
            <color indexed="81"/>
            <rFont val="Segoe UI"/>
            <charset val="1"/>
          </rPr>
          <t>Insight iXlW00001C0000087R0080105531S00000172P01800LAocjBAQBF1NjaVRlZ2ljLmRhdGEuTW9sZWN1bGUBbwF/ARJTY2lUZWdpYy5Nb2xlY3VsZQAAAQFkAv5qAQAAAAIAAgEYAREAAAD8/AD8AAIAAAAAAADwvwAAAAAAABgAAAD8/AD8AAIAAAAAAADwvwJsmnecoiP1vwJTliGOdXHnvwAAAAAYAAAA/PwA/AACAAAAAAAA8L8CaERpb/CF9b8CdnEbDeCtAcAAAAAAGAAAAPz8APwAAgAAAAAAAPC/AjGZKhiVVAXAAkOtad5xigfAAAAAACAAAAD8/AD8AAIAAAAAAADwvwJoRGlv8IUFwAKSXP5D+q0RwAAAAAAcAAAA/PwA/AACAAAAAAAA8L8Csp3vp8YLEMACXI/C9SicFMAAAAAAGAAAAPz8APwAAgAAAAAAAPC/AjEIrBxaJBDAAk0VjErqhBrAAAAAABgAAAD8/AD8AAIAAAAAAADwvwLM7snDQm0VwAIXSFD8GHMdwAAAAAAYAAAA/PwA/AACAAAAAAAA8L8CYcPTK2UZBsACF0hQ/BhzHcAAAAAAGAAAAPz8APwAAgAAAAAAAPC/AkvqBDQRthrAAs6qz9VWbBrAAAAAABgAAAD8/AD8AAIAAAAAAADwvwJLWYY41oUVwAIE54wo7a0hwAAAAAAYAAAA/PwA/AACAAAAAAAA8L8CwOyePCzU978CzqrP1VZsGsAAAAAAIAAAAPz8APwAAgAAAAAAAPC/AuY/pN++zhrAAsNkqmBUUhTAAAAAABgAAAD8/AD8AAIAAAAAAADwvwLm0CLb+f4fwAKY3ZOHhVodwAAAAAAgAAAA/PwA/AACAAAAAAAA8L8CyzLEsS5uEMAC93XgnBElI8AAAAAAGAAAAPz8APwAAgAAAAAAAPC/AuY/pN++zhrAAvd14JwRJSPAAAAAABgAAAD8/AD8AAIAAAAAAADwvwILRiV1AprIvwLYEvJBz2YdwAAAAAAYAAAA/PwA/AACAAAAAAAA8L8Csp3vp8YLIMACxLEubqOhIcAAAAAAGAAAAPz8APwAAgAAAAAAAPC/AgCRfvs6sCLAAirLEMe6GCPAAAAAABgAAAD8/AD8AAIAAAAAAADwvwK/DpwzolQlwAKFfNCzWZUhwAAAAAABEAAAAPz8APwAAgAAAAAAAPC/Ag0CK4cW+SfAAuqVsgxxDCPAAAAAABgAAAD8/AD8AAIAAAAAAADwvwL/Q/rt62AlwAL/snvysBAdwAAAAAAYAAAA/PwA/AACAAAAAAAA8L8CTDeJQWAFKMAC4lgXt9EAJsAAAAAAGAAAAPz8APwAAgAAAAAAAPC/Agu1pnnHqSrAAnUCmggbfifAAAAAAAEYAAQBZQQAAAAAAAAAAAQIAWUIDAAAAAAAAAAIDAFlBAAAAAAAAAAADBABZQQAAAAAAAAAABAUAWUEAAAAAAAAAAAUGAFlCAwAAAAAAAAAGBwBZQQAAAAAAAAAABggAWUEAAAAAAAAAAAcJAFlCAgAAAAAAAAAHCgBZQQAAAAAAAAAACAsAWUEAAAAAAAAAAAkMAFlBAAAAAAAAAAAJDQBZQQAAAAAAAAAACg4AWUIAAAAAAAAAAAoPAFlBAAAAAAAAAAALAEQAWUEAAAAAAAAAAA0AREBZQQAAAAAAAAAAAERARIBZQQAAAAAAAAAAAESARMBZQQAAAAAAAAAAAETARQBZQQAAAAAAAAAAAETARUBZQQAAAAAAAAAAAEUARYBZQQAAAAAAAAAAAEWARcBZQQAAAAAAAAAADwBEQFlBAAAAAAAAAAAAAAAAA==</t>
        </r>
      </text>
    </comment>
    <comment ref="A88" authorId="0" shapeId="0" xr:uid="{C7DD8252-970B-455D-BB75-95F34FA4FE5F}">
      <text>
        <r>
          <rPr>
            <sz val="9"/>
            <color indexed="81"/>
            <rFont val="Segoe UI"/>
            <charset val="1"/>
          </rPr>
          <t>Insight iXlW00001C0000088R0080105531S00000174P00836LAocjBAQBF1NjaVRlZ2ljLmRhdGEuTW9sZWN1bGUBbwF/ARJTY2lUZWdpYy5Nb2xlY3VsZQAAAQFkAv5qAQAAAAIAAiwBEQAAAPz8APwAAgAAAAAAAPC/AAAAAAAAGAAAAPz8APwAAgAAAAAAAPC/AjiJQWDl0PQ/Arn8h/Tb1+c/AAAAABwAAAD8/AD8AAIAAAAAAADwvwL/snvysNAEQAAAAAAAGAAAAPz8APwAAgAAAAAAAPC/AjiJQWDl0PQ/Apm7lpAP+gFAAAAAABgAAAD8/AD8AAIAAAAAAADwvwKbd5yiIzkPQAK5/If029fnPwAAAAAYAAAA/PwA/AACAAAAAAAA8L8C/7J78rDQBEACx7q4jQbwB0AAAAAAGAAAAPz8APwAAgAAAAAAAPC/Apt3nKIjOQ9AApm7lpAP+gFAAAAAABgAAAD8/AD8AAIAAAAAAADwvwIbnl4py9AUQAAAAAAAAREAAAD8/AD8AAIAAAAAAADwvwIbnl4py9AUQALHuriNBvAHQAAAAAAgAAAA/PwA/AACAAAAAAAA8L8CaQBvgQQFGkACufyH9NvX5z8AAAAAIAAAAPz8APwAAgAAAAAAAPC/AhueXinL0BRAAtV46SYxCPi/AAAAACwABAFlBAAAAAAAAAAABAgBZQgMAAAAAAAAAAQMAWUEAAAAAAAAAAAIEAFlBAAAAAAAAAAADBQBZQgIAAAAAAAAABAYAWUIDAAAAAAAAAAQHAFlBAAAAAAAAAAAGCABZQQAAAAAAAAAABwkAWUIAAAAAAAAAAAcKAFlBAAAAAAAAAAAFBgBZQQAAAAAAAAAAAAAAAA=</t>
        </r>
      </text>
    </comment>
    <comment ref="A89" authorId="0" shapeId="0" xr:uid="{49D09FF9-A634-4E09-B843-DAC750074E08}">
      <text>
        <r>
          <rPr>
            <sz val="9"/>
            <color indexed="81"/>
            <rFont val="Segoe UI"/>
            <charset val="1"/>
          </rPr>
          <t>Insight iXlW00001C0000089R0080105531S00000176P02076LAocjBAQBF1NjaVRlZ2ljLmRhdGEuTW9sZWN1bGUBbwF/ARJTY2lUZWdpYy5Nb2xlY3VsZQAAAQFkAv5qAQAAAAIAAgEcAREAAAD8/AD8AAIAAAAAAADwvwAAAAAAABgAAAD8/AD8AAIAAAAAAADwvwACB/AWSFD8978AAAAAGAAAAPz8APwAAgAAAAAAAPC/ArwFEhQ/xvQ/AhrAWyBB8QHAAAAAABgAAAD8/AD8AAIAAAAAAADwvwK8BRIUP8b0vwIawFsgQfEBwAAAAAAcAAAA/PwA/AACAAAAAAAA8L8C9dvXgXPGBEACB/AWSFD8978AAAAAGAAAAPz8APwAAgAAAAAAAPC/ArwFEhQ/xvQ/Ah44Z0Rp7w3AAAAAABgAAAD8/AD8AAIAAAAAAADwvwK8BRIUP8b0vwIeOGdEae8NwAAAAAABEAAAAPz8APwAAgAAAAAAAPC/AvXb14FzxgRAAAAAAAAYAAAA/PwA/AACAAAAAAAA8L8C9dvXgXPGBEACBTQRNjz9EcAAAAAAGAAAAPz8APwAAgAAAAAAAPC/AAL+1HjpJvERwAAAAAAgAAAA/PwA/AACAAAAAAAA8L8C9dvXgXPGBEACB/AWSFD89z8AAAAAIAAAAPz8APwAAgAAAAAAAPC/AuPHmLuWkPE/AAAAAAAYAAAA/PwA/AACAAAAAAAA8L8C/Knx0k1iEEAAAAAAACAAAAD8/AD8AAIAAAAAAADwvwLT3uALkykPQAIs9pfdkwcOwAAAAAAgAAAA/PwA/AACAAAAAAAA8L8C9dvXgXPGBEACB/AWSFD8F8AAAAAAHAAAAPz8APwAAgAAAAAAAPC/AltCPujZ7BNAAvmgZ7Pqc/M/AAAAABwAAAD8/AD8AAIAAAAAAADwvwJbQj7o2ewTQAL5oGez6nPzvwAAAAAYAAAA/PwA/AACAAAAAAAA8L8C097gC5MpD0ACGXPXEvIBG8AAAAAAHAAAAPz8APwAAgAAAAAAAPC/AjPEsS5uoxlAApQYBFYOLeg/AAAAABgAAAD8/AD8AAIAAAAAAADwvwIzxLEubqMZQAKUGARWDi3ovwAAAAAYAAAA/PwA/AACAAAAAAAA8L8CokW28/3UHkACB/AWSFD89z8AAAAAGAAAAPz8APwAAgAAAAAAAPC/AqJFtvP91B5AAiNseHqlLPi/AAAAACAAAAD8/AD8AAIAAAAAAADwvwKiRbbz/dQeQAIH8BZIUPwHQAAAAAAcAAAA/PwA/AACAAAAAAAA8L8CiWNd3EYDIkACXCBB8WPM5z8AAAAAGAAAAPz8APwAAgAAAAAAAPC/AoljXdxGAyJAAssQx7q4jei/AAAAABgAAAD8/AD8AAIAAAAAAADwvwKJY13cRgMiQAIeOGdEae8NQAAAAAAkAAAA/PwA/AACAAAAAAAA8L8CzhlR2hucJEACP+jZrPpc+L8AAAAAGAAAAPz8APwAAgAAAAAAAPC/AoljXdxGAyJAAhFYObTI9hRAAAAAAAEeAAQBZQQAAAAAAAAAAAQIAWUICAAAAAAAAAAEDAFlBAAAAAAAAAAACBABZQQAAAAAAAAAAAgUAWUEAAAAAAAAAAAMGAFlCAgAAAAAAAAAEBwBZQQAAAAAAAAAABQgAWUEAAAAAAAAAAAUJAFlCAgAAAAAAAAAHCgBZQgAAAAAAAAAABwsAWUIAAAAAAAAAAAcMAFlBAAAAAAAAAAAIDQBZQgAAAAAAAAAACA4AWUEAAAAAAAAAAAwPAFlCAwAAAAAAAAAMAEQAWUEAAAAAAAAAAA4AREBZQQAAAAAAAAAADwBEgFlBAAAAAAAAAAAARABEwFlCAwAAAAAAAAAARIBFAFlBAAAAAAAAAAAARMBFQFlBAAAAAAAAAAAARQBFgFlBAAAAAAAAAAAARQBFwFlCAgAAAAAAAAAARUBGAFlCAwAAAAAAAAAARYBGQFlBAAAAAAAAAAAARgBGgFlBAAAAAAAAAAAARkBGwFlBAAAAAAAAAAAGCQBZQQAAAAAAAAAAAESARMBZQQAAAAAAAAAAAEXARgBZQQAAAAAAAAAAAAAAAA=</t>
        </r>
      </text>
    </comment>
    <comment ref="A90" authorId="0" shapeId="0" xr:uid="{CDC6BBBF-C565-42FE-89C3-3C639FD41ACC}">
      <text>
        <r>
          <rPr>
            <sz val="9"/>
            <color indexed="81"/>
            <rFont val="Segoe UI"/>
            <charset val="1"/>
          </rPr>
          <t>Insight iXlW00001C0000090R0080105531S00000178P01576LAocjBAQBF1NjaVRlZ2ljLmRhdGEuTW9sZWN1bGUBbwF/ARJTY2lUZWdpYy5Nb2xlY3VsZQAAAQFkAv5qAQAAAAIAAgEVAREAAAD8/AD8AAIAAAAAAADwvwAAAAAAABgAAAD8/AD8AAIAAAAAAADwvwACxbEubqMB+L8AAAAAGAAAAPz8APwAAgAAAAAAAPC/Agkbnl4py/S/AkymCkYl9QHAAAAAABgAAAD8/AD8AAIAAAAAAADwvwIJG55eKcv0PwJMpgpGJfUBwAAAAAAYAAAA/PwA/AACAAAAAAAA8L8CCRueXinL9L8CL/8h/fb1DcAAAAAAGAAAAPz8APwAAgAAAAAAAPC/Agkbnl4pywTAAsWxLm6jAfi/AAAAABgAAAD8/AD8AAIAAAAAAADwvwIJG55eKcv0PwIv/yH99vUNwAAAAAAYAAAA/PwA/AACAAAAAAAA8L8AAkymCkYl9RHAAAAAABwAAAD8/AD8AAIAAAAAAADwvwJVUiegiTAPwAJaZDvfTw0CwAAAAAAYAAAA/PwA/AACAAAAAAAA8L8C7S+7Jw/LFMAC4C2QoPgx+L8AAAAAIAAAAPz8APwAAgAAAAAAAPC/Au0vuycPyxTAAu0NvjCZKoi/AAAAABwAAAD8/AD8AAIAAAAAAADwvwKvtmJ/2f0ZwAKh+DHmriUCwAAAAAAYAAAA/PwA/AACAAAAAAAA8L8CcT0K16MwH8AC/Knx0k1i+L8AAAAAGAAAAPz8APwAAgAAAAAAAPC/Aoxs5/upMSLAAq+2Yn/ZPQLAAAAAABgAAAD8/AD8AAIAAAAAAADwvwIT8kHPZhUhwAIj2/l+arzMvwAAAAAYAAAA/PwA/AACAAAAAAAA8L8CmUwVjEoqHMACI9v5fmq8zL8AAAAAGAAAAPz8APwAAgAAAAAAAPC/Au0vuycPyyTAAonS3uALk/i/AAAAABgAAAD8/AD8AAIAAAAAAADwvwKMbOf7qTEiwAKRD3o2qz4OwAAAAAAYAAAA/PwA/AACAAAAAAAA8L8CTvOOU3RkJ8ACr7Zif9k9AsAAAAAAGAAAAPz8APwAAgAAAAAAAPC/Au0vuycPyyTAAoUNT6+UJRLAAAAAABgAAAD8/AD8AAIAAAAAAADwvwJO845TdGQnwAKRD3o2qz4OwAAAAAABFgAEAWUEAAAAAAAAAAAECAFlCAwAAAAAAAAABAwBZQQAAAAAAAAAAAgQAWUEAAAAAAAAAAAIFAFlBAAAAAAAAAAADBgBZQgIAAAAAAAAABAcAWUICAAAAAAAAAAUIAFlBAAAAAAAAAAAICQBZQQAAAAAAAAAACQoAWUIAAAAAAAAAAAkLAFlBAAAAAAAAAAALDABZQQAAAAAAAAAADA0AWUEAAAAAAAAAAAwOAFlBAAAAAAAAAAAMDwBZQQAAAAAAAAAADQBEAFlCAwAAAAAAAAANAERAWUEAAAAAAAAAAABEAESAWUEAAAAAAAAAAABEQETAWUICAAAAAAAAAABEgEUAWUICAAAAAAAAAAYHAFlBAAAAAAAAAAAARMBFAFlBAAAAAAAAAAAAAAAAA==</t>
        </r>
      </text>
    </comment>
    <comment ref="A91" authorId="0" shapeId="0" xr:uid="{FF5D3DBA-9B78-40D3-A450-BFB2FFFEA58B}">
      <text>
        <r>
          <rPr>
            <sz val="9"/>
            <color indexed="81"/>
            <rFont val="Segoe UI"/>
            <charset val="1"/>
          </rPr>
          <t>Insight iXlW00001C0000091R0080105531S00000180P01192LAocjBAQBF1NjaVRlZ2ljLmRhdGEuTW9sZWN1bGUBbwF/ARJTY2lUZWdpYy5Nb2xlY3VsZQAAAQFkAv5qAQAAAAIAAgEQAREAAAD8/AD8AAIAAAAAAADwvwAAAAAAABgAAAD8/AD8AAIAAAAAAADwvwACiWNd3EYD+L8AAAAAHAAAAPz8APwAAgAAAAAAAPC/AlwgQfFjzPQ/Aq5p3nGKDgLAAAAAABwAAAD8/AD8AAIAAAAAAADwvwJcIEHxY8z0vwKuad5xig4CwAAAAAAYAAAA/PwA/AACAAAAAAAA8L8CXCBB8WPM9D8CchsN4C0QDsAAAAAAGAAAAPz8APwAAgAAAAAAAPC/AlwgQfFjzPS/AnIbDeAtEA7AAAAAABwAAAD8/AD8AAIAAAAAAADwvwACpwpGJXUCEsAAAAAAHAAAAPz8APwAAgAAAAAAAPC/AlwgQfFjzARAAqcKRiV1AhLAAAAAABwAAAD8/AD8AAIAAAAAAADwvwJcIEHxY8wEwAKnCkYldQISwAAAAAAYAAAA/PwA/AACAAAAAAAA8L8CirDh6ZUyD0ACchsN4C0QDsAAAAAAGAAAAPz8APwAAgAAAAAAAPC/Aoqw4emVMg/AAnIbDeAtEA7AAAAAABgAAAD8/AD8AAIAAAAAAADwvwJcIEHxY8wUQAKJY13cRgMIwAAAAAAYAAAA/PwA/AACAAAAAAAA8L8COrTIdr6fEkAC0NVW7C87FMAAAAAAGAAAAPz8APwAAgAAAAAAAPC/Aq+2Yn/ZPQlAAkSLbOf7qQPAAAAAABgAAAD8/AD8AAIAAAAAAADwvwJcIEHxY8wUwAKnCkYldQISwAAAAAAcAAAA/PwA/AACAAAAAAAA8L8Cc2iR7Xz/GUACrmnecYoOAsAAAAAAARAABAFlBAAAAAAAAAAABAgBZQgMAAAAAAAAAAQMAWUEAAAAAAAAAAAIEAFlBAAAAAAAAAAADBQBZQgMAAAAAAAAABAYAWUICAAAAAAAAAAQHAFlBAAAAAAAAAAAFCABZQQAAAAAAAAAABwkAWUEAAAAAAAAAAAgKAFlBAAAAAAAAAAAJCwBZQQAAAAAAAAAACQwAWUEAAAAAAAAAAAkNAFlBAAAAAAAAAAAKDgBZQQAAAAAAAAAACw8AWUMAAAAAAAAAAAUGAFlBAAAAAAAAAAAAAAAAA==</t>
        </r>
      </text>
    </comment>
    <comment ref="A92" authorId="0" shapeId="0" xr:uid="{82834A44-7F95-436F-A132-3FEE257A9E84}">
      <text>
        <r>
          <rPr>
            <sz val="9"/>
            <color indexed="81"/>
            <rFont val="Segoe UI"/>
            <charset val="1"/>
          </rPr>
          <t>Insight iXlW00001C0000092R0080105531S00000182P01056LAocjBAQBF1NjaVRlZ2ljLmRhdGEuTW9sZWN1bGUBbwF/ARJTY2lUZWdpYy5Nb2xlY3VsZQAAAQFkAv5qAQAAAAIAAjgBEAAAAPz8APwAAgAAAAAAAPC/AAAAAAAAGAAAAPz8APwAAgAAAAAAAPC/ArwFEhQ/xvS/AnrHKTqSy+c/AAAAABgAAAD8/AD8AAIAAAAAAADwvwK8BRIUP8b0PwKyv+yePCzoPwAAAAAgAAAA/PwA/AACAAAAAAAA8L8CvAUSFD/G9L8C4umVsgzxAUAAAAAAHAAAAPz8APwAAgAAAAAAAPC/ArwFEhQ/xgTAAu0NvjCZKoi/AAAAABgAAAD8/AD8AAIAAAAAAADwvwK8BRIUP8YEQAAAAAAAGAAAAPz8APwAAgAAAAAAAPC/ApoIG55eKQ/AAnrHKTqSy+c/AAAAABgAAAD8/AD8AAIAAAAAAADwvwK8BRIUP8YEwAKyv+yePCz4vwAAAAAYAAAA/PwA/AACAAAAAAAA8L8CoBov3STGFMAC7Q2+MJkqiL8AAAAAGAAAAPz8APwAAgAAAAAAAPC/ApoIG55eKQ/AAuLplbIM8QFAAAAAABgAAAD8/AD8AAIAAAAAAADwvwK8BRIUP8b0vwL+ZffkYSECwAAAAAAYAAAA/PwA/AACAAAAAAAA8L8CD5wzorT3GcACescpOpLL5z8AAAAAGAAAAPz8APwAAgAAAAAAAPC/AqAaL90kxhTAAsBbIEHx4wdAAAAAABgAAAD8/AD8AAIAAAAAAADwvwIPnDOitPcZwALi6ZWyDPEBQAAAAAA4AAQBZQQAAAAAAAAAAAAIAWUEAAAAAAAAAAAEDAFlCAAAAAAAAAAABBABZQQAAAAAAAAAAAgUAWUEAAAAAAAAAAAQGAFlBAAAAAAAAAAAEBwBZQQAAAAAAAAAABggAWUEAAAAAAAAAAAYJAFlBAAAAAAAAAAAHCgBZQQAAAAAAAAAACAsAWUEAAAAAAAAAAAkMAFlBAAAAAAAAAAALDQBZQQAAAAAAAAAADA0AWUEAAAAAAAAAAAAAAAA</t>
        </r>
      </text>
    </comment>
    <comment ref="A93" authorId="0" shapeId="0" xr:uid="{A28F7C17-EAEB-4E02-81C2-DCE9D9632143}">
      <text>
        <r>
          <rPr>
            <sz val="9"/>
            <color indexed="81"/>
            <rFont val="Segoe UI"/>
            <charset val="1"/>
          </rPr>
          <t>Insight iXlW00001C0000093R0080105531S00000184P02072LAocjBAQBF1NjaVRlZ2ljLmRhdGEuTW9sZWN1bGUBbwF/ARJTY2lUZWdpYy5Nb2xlY3VsZQAAAQFkAv5qAQAAAAIAAgEbAREAAAD8/AD8AAIAAAAAAADwvwAAAAAAABgAAAD8/AD8AAIAAAAAAADwvwIN4C2QoPj0vwLp2az6XG3nPwAAAAAcAAAA/PwA/AACAAAAAAAA8L8C8mPMXUvIBMACcoqO5PIfor8AAAAAGAAAAPz8APwAAgAAAAAAAPC/AkXY8PRKWfW/AtGzWfW52gFAAAAAABwAAAD8/AD8AAIAAAAAAADwvwL4U+Olm0QPwAJB8WPMXUvmPwAAAAAYAAAA/PwA/AACAAAAAAAA8L8CKVyPwvUoBcACS+oENBG2B0AAAAAAGAAAAPz8APwAAgAAAAAAAPC/AhTQRNjwdA/AAm6jAbwFkgFAAAAAACAAAAD8/AD8AAIAAAAAAADwvwJ+rrZif1kFwAK0yHa+n9oRQAAAAAAgAAAA/PwA/AACAAAAAAAA8L8CKssQx7r4FMAC6dms+lxtB0AAAAAAGAAAAPz8APwAAgAAAAAAAPC/AiZ1ApoIG/a/AgaBlUOL7BRAAAAAABgAAAD8/AD8AAIAAAAAAADwvwIfhetRuB4awAJFaW/whUkBQAAAAAAgAAAA/PwA/AACAAAAAAAA8L8CcoqO5PIfsr8CyeU/pN/+EUAAAAAAHAAAAPz8APwAAgAAAAAAAPC/Al1txf6ye/a/ArK/7J487BpAAAAAABgAAAD8/AD8AAIAAAAAAADwvwIi/fZ14FwfwAK/nxov3SQHQAAAAAAYAAAA/PwA/AACAAAAAAAA8L8C9dvXgXMGGsACmggbnl4p5T8AAAAAGAAAAPz8APwAAgAAAAAAAPC/ArWmeccpugXAAu9aQj7o2R1AAAAAABgAAAD8/AD8AAIAAAAAAADwvwJ6WKg1zTu+vwIEeAskKP4dQAAAAAAYAAAA/PwA/AACAAAAAAAA8L8CjNtoAG9BIsACGy/dJAYBAUAAAAAAGAAAAPz8APwAAgAAAAAAAPC/AjC7Jw8LdR/AAouO5PIfkhFAAAAAABgAAAD8/AD8AAIAAAAAAADwvwLqlbIMcSwfwAK8lpAPeja7vwAAAAAYAAAA/PwA/AACAAAAAAAA8L8C8mPMXUvIFMACcoqO5PIfsr8AAAAAGAAAAPz8APwAAgAAAAAAAPC/AtEi2/l+6gXAAj9XW7G/7CFAAAAAABgAAAD8/AD8AAIAAAAAAADwvwL77evAOSPCvwJXW7G/7P4hQAAAAAAYAAAA/PwA/AACAAAAAAAA8L8C9wZfmEw1IsACEce6uI0G5D8AAAAAGAAAAPz8APwAAgAAAAAAAPC/AsE5I0p7QyHAAoBIv30duBZAAAAAABgAAAD8/AD8AAIAAAAAAADwvwLzH9JvX4ccwAKOBvAWSNAWQAAAAAAgAAAA/PwA/AACAAAAAAAA8L8CzV1LyAc9978C9ihcj8J1I0AAAAAAAR4ABAFlBAAAAAAAAAAABAgBZQgMAAAAAAAAAAQMAWUEAAAAAAAAAAAIEAFlBAAAAAAAAAAADBQBZQgMAAAAAAAAABAYAWUIDAAAAAAAAAAUHAFlBAAAAAAAAAAAGCABZQQAAAAAAAAAABwkAWUEAAAAAAAAAAAgKAFlBAAAAAAAAAAAJCwBZQgAAAAAAAAAACQwAWUEAAAAAAAAAAAoNAFlCAwAAAAAAAAAKDgBZQQAAAAAAAAAADA8AWUEAAAAAAAAAAAwARABZQQAAAAAAAAAADQBEQFlBAAAAAAAAAAANAESAWUEAAAAAAAAAAA4ARMBZQgIAAAAAAAAADgBFAFlBAAAAAAAAAAAPAEVAWUEAAAAAAAAAAABEAEWAWUEAAAAAAAAAAABEQEXAWUICAAAAAAAAAABEgEYAWUEAAAAAAAAAAABEgEZAWUEAAAAAAAAAAABFQEaAWUEAAAAAAAAAAAUGAFlBAAAAAAAAAAAARMBFwFlBAAAAAAAAAAAARYBGgFlBAAAAAAAAAAAARgBGQFlBAAAAAAAAAAAAAAAAA==</t>
        </r>
      </text>
    </comment>
    <comment ref="A94" authorId="0" shapeId="0" xr:uid="{5ABD13BD-7D87-4ED3-925B-E5D748D219F9}">
      <text>
        <r>
          <rPr>
            <sz val="9"/>
            <color indexed="81"/>
            <rFont val="Segoe UI"/>
            <charset val="1"/>
          </rPr>
          <t>Insight iXlW00001C0000094R0080105531S00000186P02180LAocjBAQBF1NjaVRlZ2ljLmRhdGEuTW9sZWN1bGUBbwF/ARJTY2lUZWdpYy5Nb2xlY3VsZQAAAQFkAv5qAQAAAAIAAgEdARAAAAD8/AD8AAIAAAAAAADwvwAAAAAAACAAAAD8/AD8AAIAAAAAAADwvwL1SlmGONbnPwLkg57Nqs/0PwAAAAAgAAAA/PwA/AACAAAAAAAA8L8C5IOezarP9L8C9UpZhjjW5z8AAAAAHAAAAPz8APwAAgAAAAAAAPC/AvVKWYY41ue/AuSDns2qz/S/AAAAABwAAAD8/AD8AAIAAAAAAADwvwLkg57Nqs/0PwIPnDOitDfovwAAAAAYAAAA/PwA/AACAAAAAAAA8L8Cfoy5awn5AcAC5IOezarP9L8AAAAAGAAAAPz8APwAAgAAAAAAAPC/AuSDns2qzwRAAu0NvjCZKoi/AAAAABgAAAD8/AD8AAIAAAAAAADwvwJ0tRX7y+4HwALkg57Nqs8EwAAAAAAYAAAA/PwA/AACAAAAAAAA8L8CdLUV+8vuB8AAAAAAACAAAAD8/AD8AAIAAAAAAADwvwLkg57Nqs8EQAJm9+Rhodb3PwAAAAAcAAAA/PwA/AACAAAAAAAA8L8C18VtNIA3D0ACD5wzorQ36L8AAAAAGAAAAPz8APwAAgAAAAAAAPC/An6MuWsJ+QHAAtfFbTSANw/AAAAAABgAAAD8/AD8AAIAAAAAAADwvwKbd5yiI/kRwALkg57Nqs8EwAAAAAAYAAAA/PwA/AACAAAAAAAA8L8Cm3ecoiP5EcAAAAAAABgAAAD8/AD8AAIAAAAAAADwvwLkg57Nqs8UQALtDb4wmSqIvwAAAAAgAAAA/PwA/AACAAAAAAAA8L8C9UpZhjjW578C18VtNIA3D8AAAAAAGAAAAPz8APwAAgAAAAAAAPC/AnS1FfvL7gfAAuSDns2qzxTAAAAAABgAAAD8/AD8AAIAAAAAAADwvwL5oGez6vMUwALkg57Nqs/0vwAAAAAcAAAA/PwA/AACAAAAAAAA8L8C5IOezarPFEACZvfkYaHW9z8AAAAAHAAAAPz8APwAAgAAAAAAAPC/AsE5I0p7AxpAAg+cM6K0N+i/AAAAABgAAAD8/AD8AAIAAAAAAADwvwJ0tRX7y+4HwALFILByaNEawAAAAAAYAAAA/PwA/AACAAAAAAAA8L8Cs3vysFArEcACQ61p3nHKF8AAAAAAGAAAAPz8APwAAgAAAAAAAPC/AsE5I0p7AxpAAnDOiNLe4AFAAAAAABgAAAD8/AD8AAIAAAAAAADwvwK62or9ZTcfQALtDb4wmSqIvwAAAAAgAAAA/PwA/AACAAAAAAAA8L8CwTkjSnsDGkACMgisHFrkDUAAAAAAGAAAAPz8APwAAgAAAAAAAPC/Arraiv1lNx9AAkp7gy9Mpvc/AAAAACAAAAD8/AD8AAIAAAAAAADwvwLaPXlYqDUiQAIPnDOitDfovwAAAAAYAAAA/PwA/AACAAAAAAAA8L8C5IOezarPFEAClBgEVg7tEUAAAAAAGAAAAPz8APwAAgAAAAAAAPC/Ato9eVioNSJAAsUgsHJoEQLAAAAAAAEfAAQBZQgAAAAAAAAAAAAIAWUIAAAAAAAAAAAADAFlBAAAAAAAAAAAABABZQQAAAAAAAAAAAwUAWUEAAAAAAAAAAAQGAFlBAAAAAAAAAAAFBwBZQgIAAAAAAAAABQgAWUEAAAAAAAAAAAYJAFlCAAAAAAAAAAAGCgBZQQAAAAAAAAAABwsAWUEAAAAAAAAAAAcMAFlBAAAAAAAAAAAIDQBZQgIAAAAAAAAACg4AWUEAAAAAAAAAAAsPAFlCAAAAAAAAAAALAEQAWUEAAAAAAAAAAAwAREBZQgIAAAAAAAAADgBEgFlCAwAAAAAAAAAOAETAWUEAAAAAAAAAAABEAEUAWUEAAAAAAAAAAABEAEVAWUEAAAAAAAAAAABEgEWAWUEAAAAAAAAAAABEwEXAWUIDAAAAAAAAAABFgEYAWUEAAAAAAAAAAABFgEZAWUICAAAAAAAAAABFwEaAWUEAAAAAAAAAAABGAEbAWUEAAAAAAAAAAABGgEcAWUEAAAAAAAAAAA0AREBZQQAAAAAAAAAAAEUARUBZQQAAAAAAAAAAAEXARkBZQQAAAAAAAAAAAAAAAA=</t>
        </r>
      </text>
    </comment>
    <comment ref="A95" authorId="0" shapeId="0" xr:uid="{6A5A6232-0DF8-4BF4-9CBF-8BCAC59D7566}">
      <text>
        <r>
          <rPr>
            <sz val="9"/>
            <color indexed="81"/>
            <rFont val="Segoe UI"/>
            <charset val="1"/>
          </rPr>
          <t>Insight iXlW00001C0000095R0080105531S00000188P01624LAocjBAQBF1NjaVRlZ2ljLmRhdGEuTW9sZWN1bGUBbwF/ARJTY2lUZWdpYy5Nb2xlY3VsZQAAAQFkAv5qAQAAAAIAAgEWARAAAAD8/AD8AAIAAAAAAADwvwAAAAAAABgAAAD8/AD8AAIAAAAAAADwvwLyY8xdS8j0PwIg0m9fB87nPwAAAAAYAAAA/PwA/AACAAAAAAAA8L8AAjxO0ZFc/ve/AAAAABgAAAD8/AD8AAIAAAAAAADwvwLyY8xdS8gEQAAAAAAAGAAAAPz8APwAAgAAAAAAAPC/AvJjzF1LyPQ/Au0vuycPCwLAAAAAABgAAAD8/AD8AAIAAAAAAADwvwLqlbIMcSwPQAIg0m9fB87nPwAAAAAYAAAA/PwA/AACAAAAAAAA8L8C8mPMXUvIBEACPE7RkVz+978AAAAAGAAAAPz8APwAAgAAAAAAAPC/AuqVsgxxLA9AAqabxCCw8gFAAAAAABgAAAD8/AD8AAIAAAAAAADwvwLyY8xdS8gUQAAAAAAAGAAAAPz8APwAAgAAAAAAAPC/AvJjzF1LyBRAAnUkl/+Q/gdAAAAAABgAAAD8/AD8AAIAAAAAAADwvwLufD81XvoZQAIg0m9fB87nPwAAAAAgAAAA/PwA/AACAAAAAAAA8L8C8mPMXUvIFEACyeU/pN/+EUAAAAAAGAAAAPz8APwAAgAAAAAAAPC/Au58PzVe+hlAAqabxCCw8gFAAAAAACAAAAD8/AD8AAIAAAAAAADwvwLqlbIMcSwfQAAAAAAAGAAAAPz8APwAAgAAAAAAAPC/AuqVsgxxLB9AAnUkl/+Q/gdAAAAAABwAAAD8/AD8AAIAAAAAAADwvwLqlbIMcSwfQALJ5T+k3/4RQAAAAAAYAAAA/PwA/AACAAAAAAAA8L8Cc9cS8kEvIkACppvEILDyAUAAAAAAIAAAAPz8APwAAgAAAAAAAPC/AnPXEvJBLyJAAg3gLZCg+BRAAAAAABgAAAD8/AD8AAIAAAAAAADwvwLyY8xdS8gkQAJ1JJf/kP4HQAAAAAAYAAAA/PwA/AACAAAAAAAA8L8Cc9cS8kEvIkACnDOitDf4GkAAAAAAGAAAAPz8APwAAgAAAAAAAPC/AuJ6FK5HYSdAAqabxCCw8gFAAAAAABgAAAD8/AD8AAIAAAAAAADwvwLyY8xdS8gkQAIEeAskKP4dQAAAAAABFwAEAWUEAAAAAAAAAAAACAFlBAAAAAAAAAAABAwBZQQAAAAAAAAAAAgQAWUEAAAAAAAAAAAMFAFlBAAAAAAAAAAADBgBZQQAAAAAAAAAABQcAWUEAAAAAAAAAAAUIAFlBAAAAAAAAAAAHCQBZQQAAAAAAAAAACAoAWUEAAAAAAAAAAAkLAFlBAAAAAAAAAAAJDABZQgMAAAAAAAAACg0AWUIAAAAAAAAAAAwOAFlBAAAAAAAAAAAODwBZQgMAAAAAAAAADgBEAFlBAAAAAAAAAAAPAERAWUEAAAAAAAAAAABEAESAWUEAAAAAAAAAAABEQETAWUEAAAAAAAAAAABEgEUAWUEAAAAAAAAAAABEwEVAWUEAAAAAAAAAAAQGAFlBAAAAAAAAAAAKDABZQQAAAAAAAAAAAAAAAA=</t>
        </r>
      </text>
    </comment>
    <comment ref="A96" authorId="0" shapeId="0" xr:uid="{43CB11A4-8B93-40B2-B008-FDF39F7569D9}">
      <text>
        <r>
          <rPr>
            <sz val="9"/>
            <color indexed="81"/>
            <rFont val="Segoe UI"/>
            <charset val="1"/>
          </rPr>
          <t>Insight iXlW00001C0000096R0080105531S00000190P01940LAocjBAQBF1NjaVRlZ2ljLmRhdGEuTW9sZWN1bGUBbwF/ARJTY2lUZWdpYy5Nb2xlY3VsZQAAAQFkAv5qAQAAAAIBAgEaJAAAAPz8APwAAgAAAAAAAPC/AAAAAAAAGAAAAPz8APwAAgAAAAAAAPC/AALLoUW28/33vwAAAAAYAAAA/PwA/AACAAAAAAAA8L8CDwu1pnnH9D8CQ61p3nEKAsAAAAAAGAAAAPz8APwAAgAAAAAAAPC/Ag8LtaZ5x/S/AkOtad5xCgLAAAAAACAAAAD8/AD8AAIAAAAAAADwvwJI4XoUrscEQALLoUW28/33vwAAAAAYAAAA/PwA/AACAAAAAAAA8L8CDwu1pnnH9D8C8KfGSzcJDsAAAAAAGAAAAPz8APwAAgAAAAAAAPC/Ag8LtaZ5x/S/AvCnxks3CQ7AAAAAABgAAAD8/AD8AAIAAAAAAADwvwLQZtXnaisPQAJDrWnecQoCwAAAAAAYAAAA/PwA/AACAAAAAAAA8L8AAjxO0ZFc/hHAAAAAABgAAAD8/AD8AAIAAAAAAADwvwJI4XoUrscEwAI8TtGRXP4RwAAAAAAYAAAA/PwA/AACAAAAAAAA8L8CSOF6FK7HFEACy6FFtvP9978AAAAAGAAAAPz8APwAAgAAAAAAAPC/AtBm1edqKw9AAvCnxks3CQ7AAAAAABwAAAD8/AD8AAIAAAAAAADwvwLQZtXnaisPwAJrvHSTGAQVwAAAAAAYAAAA/PwA/AACAAAAAAAA8L8CDCQofoz5GUACQ61p3nEKAsAAAAAAGAAAAPz8APwAAgAAAAAAAPC/AkjhehSuxxRAAjxO0ZFc/hHAAAAAABgAAAD8/AD8AAIAAAAAAADwvwIMJCh+jPkZQALwp8ZLNwkOwAAAAAAgAAAA/PwA/AACAAAAAAAA8L8C0GbV52orH0ACPE7RkVz+EcAAAAAAGAgAAPz8APwAAgAAAAAAAPC/AtBm1edqKx9AApPLf0i//RfAAAAAABgAAAD8/AD8AAIAAAAAAADwvwJYyjLEsS4iQALeJAaBlQMbwAAAAAAYAAAA/PwA/AACAAAAAAAA8L8CDCQofoz5GUAC3iQGgZUDG8AAAAAAIAAAAPz8APwAAgAAAAAAAPC/ArprCfmgxyRAApPLf0i//RfAAAAAACAAAAD8/AD8AAIAAAAAAADwvwJYyjLEsS4iQAIaUdobfIEgwAAAAAAYAAAA/PwA/AACAAAAAAAA8L8CumsJ+aDHJEACrthfdk/+IcAAAAAAGAAAAPz8APwAAgAAAAAAAPC/ArprCfmgxyRAAueMKO0N/iTAAAAAABgAAAD8/AD8AAIAAAAAAADwvwKqglFJnWAnQAL/Q/rt64AmwAAAAAAYAAAA/PwA/AACAAAAAAAA8L8CqoJRSZ1gJ0ACOPjCZKqAKcAAAAAAARsABAFlBAAAAAAAAAAABAgBZQgIAAAAAAAAAAQMAWUEAAAAAAAAAAAIEAFlBAAAAAAAAAAACBQBZQQAAAAAAAAAAAwYAWUIDAAAAAAAAAAQHAFlBAAAAAAAAAAAFCABZQgIAAAAAAAAABgkAWUEAAAAAAAAAAAcKAFlCAwAAAAAAAAAHCwBZQQAAAAAAAAAACQwAWUMAAAAAAAAAAAoNAFlBAAAAAAAAAAALDgBZQgIAAAAAAAAADQ8AWUIDAAAAAAAAAA8ARABZQQAAAAAAAAAAAEQAREBZQQAAAAAAAAAAAERARIBZQQAAAAAAAAAAAERARMBZQQQAAAAAAAAAAESARQBZQgAAAAAAAAAAAESARUBZQQAAAAAAAAAAAEVARYBZQQAAAAAAAAAAAEWARcBZQQAAAAAAAAAAAEXARgBZQQAAAAAAAAAAAEYARkBZQQAAAAAAAAAABggAWUEAAAAAAAAAAA4PAFlBAAAAAAAAAAAAAAAAA==</t>
        </r>
      </text>
    </comment>
    <comment ref="A97" authorId="0" shapeId="0" xr:uid="{835BE439-C050-444A-85CE-587047FDF887}">
      <text>
        <r>
          <rPr>
            <sz val="9"/>
            <color indexed="81"/>
            <rFont val="Segoe UI"/>
            <charset val="1"/>
          </rPr>
          <t>Insight iXlW00001C0000097R0080105531S00000192P01012LAocjBAQBF1NjaVRlZ2ljLmRhdGEuTW9sZWN1bGUBbwF/ARJTY2lUZWdpYy5Nb2xlY3VsZQAAAQFkAv5qAQAAAAIAAjQcAAQA/PwA/AACAAAAAAAA8L8AAAAAAAAYAAAA/PwA/AACAAAAAAAA8L8C1zTvOEVHor8CKVyPwvUo+D8AAAAAGAAAAPz8APwAAgAAAAAAAPC/ArAD54wo7fS/AsDsnjws1Oa/AAAAABgAAAD8/AD8AAIAAAAAAADwvwLUvOMUHcnzPwLA7J48LNTmvwAAAAAYAAAA/PwA/AACAAAAAAAA8L8CV32utmJ/9b8CXrpJDAIrAkAAAAAAGAAAAPz8APwAAgAAAAAAAPC/ArAD54wo7QTAAnRGlPYGX6g/AAAAABgAAAD8/AD8AAIAAAAAAADwvwKDwMqhRTYFwALQ1VbsL7v4PwAAAAAYAAAA/PwA/AACAAAAAAAA8L8CW0I+6NmsD8ACMnctIR90AkAAAAAAGAAAAPz8APwAAgAAAAAAAPC/Ai//If329Q/AAkYldQKaiA5AAAAAABgAAAD8/AD8AAIAAAAAAADwvwIa4lgXtxEVwAJ3Tx4Wak35PwAAAAAYAAAA/PwA/AACAAAAAAAA8L8Cg8DKoUU2FcACyJi7lpBPEkAAAAAAGAAAAPz8APwAAgAAAAAAAPC/AgajkjoBTRrAAgU0ETY8vQJAAAAAABgAAAD8/AD8AAIAAAAAAADwvwJvgQTFj3EawAIa4lgXt9EOQAAAAAA4AAQBZQgIAAAAAAAAAAAIAWUEAAAAAAAAAAAADAFlBAAAAAAAAAAABBABZQQAAAAAAAAAAAgUAWUICAAAAAAAAAAQGAFlCAwAAAAAAAAAGBwBZQQAAAAAAAAAABwgAWUIDAAAAAAAAAAcJAFlBAAAAAAAAAAAICgBZQQAAAAAAAAAACQsAWUICAAAAAAAAAAoMAFlCAgAAAAAAAAAFBgBZQQAAAAAAAAAACwwAWUEAAAAAAAAAAAAAAAA</t>
        </r>
      </text>
    </comment>
    <comment ref="A98" authorId="0" shapeId="0" xr:uid="{FDBAB2E0-78A8-4E09-A822-28CA3B565512}">
      <text>
        <r>
          <rPr>
            <sz val="9"/>
            <color indexed="81"/>
            <rFont val="Segoe UI"/>
            <charset val="1"/>
          </rPr>
          <t>Insight iXlW00001C0000098R0080105531S00000194P01156LAocjBAQBF1NjaVRlZ2ljLmRhdGEuTW9sZWN1bGUBbwF/ARJTY2lUZWdpYy5Nb2xlY3VsZQAAAQFkAv5qAQAAAAIAAjwBEQAAAPz8APwAAgAAAAAAAPC/AAAAAAAAGAAAAPz8APwAAgAAAAAAAPC/AoG3QILix5i/AktZhjjWxfe/AAAAABwAAAD8/AD8AAIAAAAAAADwvwJoImx4eqX1vwKAt0CC4scBwAAAAAAcAAAA/PwA/AACAAAAAAAA8L8C0m9fB84Z9D8CgLdAguLHAcAAAAAAGAAAAPz8APwAAgAAAAAAAPC/AtV46SYxCPa/Aibkg57Nqg3AAAAAABgAAAD8/AD8AAIAAAAAAADwvwL0bFZ9rrbzPwIm5IOezaoNwAAAAAAcAAAA/PwA/AACAAAAAAAA8L8CXynLEMe6uL8C3NeBc0bUEcAAAAAAHAAAAPz8APwAAgAAAAAAAPC/AmgibHh6pQXAAtzXgXNG1BHAAAAAABwAAAD8/AD8AAIAAAAAAADwvwKamZmZmRkEQAKAt0CC4scRwAAAAAAYAAAA/PwA/AACAAAAAAAA8L8CF9nO91MjEMACt2J/2T15DcAAAAAAGAAAAPz8APwAAgAAAAAAAPC/Arr8h/TbVw5AArdif9k9eQ3AAAAAABgAAAD8/AD8AAIAAAAAAADwvwKEns2qzxUTwAIofoy5awkDwAAAAAAYAAAA/PwA/AACAAAAAAAA8L8CqaROQBMhFsACACL99nVgDcAAAAAAGAAAAPz8APwAAgAAAAAAAPC/Au0vuycPSxRAAsl2vp8arxHAAAAAABgAAAD8/AD8AAIAAAAAAADwvwKDUUmdgCYOQAJsCfmgZzMBwAAAAAABEAAEAWUEAAAAAAAAAAAECAFlCAwAAAAAAAAABAwBZQQAAAAAAAAAAAgQAWUEAAAAAAAAAAAMFAFlCAwAAAAAAAAAEBgBZQgIAAAAAAAAABAcAWUEAAAAAAAAAAAUIAFlBAAAAAAAAAAAHCQBZQQAAAAAAAAAACAoAWUEAAAAAAAAAAAkLAFlBAAAAAAAAAAAJDABZQQAAAAAAAAAACg0AWUEAAAAAAAAAAAoOAFlBAAAAAAAAAAAFBgBZQQAAAAAAAAAACwwAWUEAAAAAAAAAAAAAAAA</t>
        </r>
      </text>
    </comment>
    <comment ref="A99" authorId="0" shapeId="0" xr:uid="{94F60D17-623A-4A7A-8F55-AD72FF4B9BC9}">
      <text>
        <r>
          <rPr>
            <sz val="9"/>
            <color indexed="81"/>
            <rFont val="Segoe UI"/>
            <charset val="1"/>
          </rPr>
          <t>Insight iXlW00001C0000099R0080105531S00000196P01264LAocjBAQBF1NjaVRlZ2ljLmRhdGEuTW9sZWN1bGUBbwF/ARJTY2lUZWdpYy5Nb2xlY3VsZQAAAQFkAv5qAQAAAAIAAgERAREAAAD8/AD8AAIAAAAAAADwvwAAAAAAABgAAAD8/AD8AAIAAAAAAADwvwACL26jAbwF+D8AAAAAGAAAAPz8APwAAgAAAAAAAPC/AgIrhxbZzvQ/AtUJaCJs+AFAAAAAABgAAAD8/AD8AAIAAAAAAADwvwICK4cW2c70vwLVCWgibPgBQAAAAAAgAAAA/PwA/AACAAAAAAAA8L8CylTBqKTOBEACL26jAbwF+D8AAAAAGAAAAPz8APwAAgAAAAAAAPC/AgIrhxbZzvQ/AuzAOSNK+w1AAAAAABgAAAD8/AD8AAIAAAAAAADwvwICK4cW2c70vwLswDkjSvsNQAAAAAA8CAAA/PwA/AACAAAAAAAA8L8CS+oENBE2D0AC1QloImz4AUAAAAAAGAAAAPz8APwAAgAAAAAAAPC/AAK5HoXrUfgRQAAAAAABEQAAAPz8APwAAgAAAAAAAPC/AspUwaikzgTAArkehetR+BFAAAAAAAEQAAAA/PwA/AACAAAAAAAA8L8CbxKDwMqhEkACT9GRXP5D7j8AAAAAIAAAAPz8APwAAgAAAAAAAPC/AsZtNIC3QAlAAh3J5T+kXwxAAAAAABwAAAD8/AD8AAIAAAAAAADwvwLKVMGopM4UQAJahjjWxe0HQAAAAAAYAAAA/PwA/AACAAAAAAAA8L8CS+oENBE2D0ACT6+UZYhjE0AAAAAAGAAAAPz8APwAAgAAAAAAAPC/AoofY+5aAhpAAo51cRsN4AFAAAAAABgAAAD8/AD8AAIAAAAAAADwvwKKH2PuWgIaQALb+X5qvHTnPwAAAAAYAAAA/PwA/AACAAAAAAAA8L8CS+oENBE2H0ACE/JBz2bVB0AAAAAAAREABAFlBAAAAAAAAAAABAgBZQgIAAAAAAAAAAQMAWUEAAAAAAAAAAAIEAFlBAAAAAAAAAAACBQBZQQAAAAAAAAAAAwYAWUIDAAAAAAAAAAQHAFlBAAAAAAAAAAAFCABZQgIAAAAAAAAABgkAWUEAAAAAAAAAAAcKAFlCAAAAAAAAAAAHCwBZQQAAAAAAAAAABwwAWUEEAAAAAAAAAAsNAFlBAAAAAAAAAAAMDgBZQQAAAAAAAAAADg8AWUEAAAAAAAAAAA4ARABZQQAAAAAAAAAABggAWUEAAAAAAAAAAAAAAAA</t>
        </r>
      </text>
    </comment>
    <comment ref="A100" authorId="0" shapeId="0" xr:uid="{4B172514-1EBD-4A9C-B19D-D0E9D209A384}">
      <text>
        <r>
          <rPr>
            <sz val="9"/>
            <color indexed="81"/>
            <rFont val="Segoe UI"/>
            <charset val="1"/>
          </rPr>
          <t>Insight iXlW00001C0000100R0080105531S00000198P01068LAocjBAQBF1NjaVRlZ2ljLmRhdGEuTW9sZWN1bGUBbwF/ARJTY2lUZWdpYy5Nb2xlY3VsZQAAAQFkAv5qAQAAAAIAAjggAAAA/PwA/AACAAAAAAAA8L8AAAAAAAAcAAQA/PwA/AACAAAAAAAA8L8Ccc6I0t7g9L8CCvmgZ7Pq578AAAAAIAD8APz8APwAAgAAAAAAAPC/AlJJnYAmQgXAAs47TtGRXK4/AAAAABgAAAD8/AD8AAIAAAAAAADwvwJxzojS3uD0vwLVeOkmMQgCwAAAAAAYAAAA/PwA/AACAAAAAAAA8L8CUrgehetRqL8CfdCzWfW5B8AAAAAAGAAAAPz8APwAAgAAAAAAAPC/AqmkTkAT4QTAAt/gC5OpAgjAAAAAACAAAAD8/AD8AAIAAAAAAADwvwLpt68D54zzPwJZF7fRAF4BwAAAAAAYAAAA/PwA/AACAAAAAAAA8L8CUrgehetRqL8CiIVa07zjEcAAAAAAGAAAAPz8APwAAgAAAAAAAPC/AqmkTkAT4QTAArmNBvAWCBLAAAAAABgAAAD8/AD8AAIAAAAAAADwvwIzxLEubqP1vwKNuWsJ+eAUwAAAAAAYAAAA/PwA/AACAAAAAAAA8L8CXI/C9Shc8z8COGdEaW+wFMAAAAAAHAAEAPz8APwAAgAAAAAAAPC/AuELk6mCUQ/AArAD54wo7RTAAAAAACAAAAD8/AD8AAIAAAAAAADwvwLhC5OpglEPwAL5oGez6vMawAAAAAAgAPwA/PwA/AACAAAAAAAA8L8C/fZ14JwRFcACOpLLf0i/EcAAAAAAOAAEAWUIAAAAAAAAAAAECAFlBAAAAAAAAAAABAwBZQQAAAAAAAAAAAwQAWUICAAAAAAAAAAMFAFlBAAAAAAAAAAAEBgBZQQAAAAAAAAAABAcAWUEAAAAAAAAAAAUIAFlCAwAAAAAAAAAHCQBZQgIAAAAAAAAABwoAWUEAAAAAAAAAAAgLAFlBAAAAAAAAAAALDABZQgAAAAAAAAAACw0AWUEAAAAAAAAAAAgJAFlBAAAAAAAAAAAAAAAAA==</t>
        </r>
      </text>
    </comment>
    <comment ref="A101" authorId="0" shapeId="0" xr:uid="{ED3B4182-C539-41F7-A03F-A738446CD9F3}">
      <text>
        <r>
          <rPr>
            <sz val="9"/>
            <color indexed="81"/>
            <rFont val="Segoe UI"/>
            <charset val="1"/>
          </rPr>
          <t>Insight iXlW00001C0000101R0080105531S00000200P00520LAocjBAQBF1NjaVRlZ2ljLmRhdGEuTW9sZWN1bGUBbwF/ARJTY2lUZWdpYy5Nb2xlY3VsZQAAAQFkAv5qAQAAAAIAAhwBIQAAAPz8APwAAgAAAAAAAPC/AAAAAAAAIAAAAPz8APwAAgAAAAAAAPC/Au0NvjCZKoi/AuJYF7fRAPg/AAAAACAA/AD8/AD8AAIAAAAAAADwvwKnCkYldQLxPwKLjuTyH9LwvwAAAAAgAPwA/PwA/AACAAAAAAAA8L8CArwFEhQ/9z8C/tR46SYx2L8AAAAAGAAAAPz8APwAAgAAAAAAAPC/AifChqdXyvS/Av7UeOkmMei/AAAAACwABAD8/AD8AAIAAAAAAADwvwJOYhBYObQJQAL+1HjpJjG4PwAAAAAsAAQA/PwA/AACAAAAAAAA8L8C9ihcj8J1CkACPgrXo3A97r8AAAAAEAAEAWUIAAAAAAAAAAAACAFlBAAAAAAAAAAAAAwBZQQAAAAAAAAAAAAQAWUEAAAAAAAAAAAAAAAA</t>
        </r>
      </text>
    </comment>
    <comment ref="A102" authorId="0" shapeId="0" xr:uid="{E1B8378E-C6C6-42F2-BB0A-8DB22A64D1FD}">
      <text>
        <r>
          <rPr>
            <sz val="9"/>
            <color indexed="81"/>
            <rFont val="Segoe UI"/>
            <charset val="1"/>
          </rPr>
          <t>Insight iXlW00001C0000102R0080105531S00000202P00556LAocjBAQBF1NjaVRlZ2ljLmRhdGEuTW9sZWN1bGUBbwF/ARJTY2lUZWdpYy5Nb2xlY3VsZQAAAQFkAv5qAQAAAAIAAhwBEQAAAPz8APwAAgAAAAAAAPC/AAAAAAAAGAAAAPz8APwAAgAAAAAAAPC/AnZxGw3gLei/Ag8LtaZ5x/S/AAAAAAERAAAA/PwA/AACAAAAAAAA8L8CqaROQBNh4T8C5WGh1jRvAMAAAAAAGAAAAPz8APwAAgAAAAAAAPC/AuVhodY0bwDAAuGcEaW9weG/AAAAABgAAAD8/AD8AAIAAAAAAADwvwJa9bnaiv33vwLXNO84RccEwAAAAAAgAAAA/PwA/AACAAAAAAAA8L8C5WGh1jRvAMAC001iEFg57j8AAAAAIAAAAPz8APwAAgAAAAAAAPC/AjQRNjy90grAAiuHFtnO9/S/AAAAABgABAFlBAAAAAAAAAAABAgBZQQAAAAAAAAAAAQMAWUEAAAAAAAAAAAEEAFlBAAAAAAAAAAADBQBZQgAAAAAAAAAAAwYAWUEAAAAAAAAAAAAAAAA</t>
        </r>
      </text>
    </comment>
    <comment ref="A103" authorId="0" shapeId="0" xr:uid="{F579E4CC-B2E6-429A-86C7-F80E20523ABF}">
      <text>
        <r>
          <rPr>
            <sz val="9"/>
            <color indexed="81"/>
            <rFont val="Segoe UI"/>
            <charset val="1"/>
          </rPr>
          <t>Insight iXlW00001C0000103R0080105531S00000204P01432LAocjBAQBF1NjaVRlZ2ljLmRhdGEuTW9sZWN1bGUBbwF/ARJTY2lUZWdpYy5Nb2xlY3VsZQAAAQFkAv5qAQAAAAIAAgETAREAAAD8/AD8AAIAAAAAAADwvwAAAAAAABgAAAD8/AD8AAIAAAAAAADwvwKi1jTvOEX1vwI4iUFg5dDmvwAAAAAYAAAA/PwA/AACAAAAAAAA8L8CaQBvgQRFBcACP1dbsb/srj8AAAAAIAAAAPz8APwAAgAAAAAAAPC/AiFB8WPMXQXAAvnCZKpgVPk/AAAAABwAAAD8/AD8AAIAAAAAAADwvwK6awn5oOcPwALE0ytlGeLkvwAAAAAYAAAA/PwA/AACAAAAAAAA8L8CaQBvgQRFFcACUB4Wak3zvj8AAAAAGAAAAPz8APwAAgAAAAAAAPC/AjBMpgpGJRDAAkT67evAuQDAAAAAABgAAAD8/AD8AAIAAAAAAADwvwISNjy9UpYawAIuIR/0bFbjvwAAAAAYAAAA/PwA/AACAAAAAAAA8L8C2IFzRpR2FcACk8t/SL99+j8AAAAAIAAAAPz8APwAAgAAAAAAAPC/ApJc/kP6bQbAAkqdgCbChgbAAAAAABgAAAD8/AD8AAIAAAAAAADwvwK6awn5oOcfwAKA2T15WKjFPwAAAAAYAAAA/PwA/AACAAAAAAAA8L8CZMxdS8jHGsACn82qz9VWAMAAAAAAGAAAAPz8APwAAgAAAAAAAPC/AmTMXUvIxxrAAnS1FfvLbgNAAAAAABgAAAD8/AD8AAIAAAAAAADwvwLxY8xdS4gQwAJ0tRX7y24DQAAAAAAYAAAA/PwA/AACAAAAAAAA8L8CcF8HzhnRBsACa7x0kxgEEcAAAAAAGAAAAPz8APwAAgAAAAAAAPC/AgaBlUOLDCDAAt4kBoGVQ/s/AAAAABgAAAD8/AD8AAIAAAAAAADwvwL77evAOSP5vwKcxCCwcigUwAAAAAAYAAAA/PwA/AACAAAAAAAA8L8C3GgAb4EE0b8CYjJVMCopEcAAAAAAGAAAAPz8APwAAgAAAAAAAPC/AmhEaW/whfm/AvT91HjpJhrAAAAAAAETAAQBZQQAAAAAAAAAAAQIAWUEAAAAAAAAAAAIDAFlCAAAAAAAAAAACBABZQQAAAAAAAAAABAUAWUEAAAAAAAAAAAQGAFlBAAAAAAAAAAAFBwBZQgMAAAAAAAAABQgAWUEAAAAAAAAAAAYJAFlBAAAAAAAAAAAHCgBZQQAAAAAAAAAABwsAWUEAAAAAAAAAAAgMAFlCAgAAAAAAAAAIDQBZQQAAAAAAAAAACQ4AWUEAAAAAAAAAAAoPAFlCAgAAAAAAAAAOAEQAWUEAAAAAAAAAAABEAERAWUEAAAAAAAAAAABEAESAWUEAAAAAAAAAAAwPAFlBAAAAAAAAAAAAAAAAA==</t>
        </r>
      </text>
    </comment>
    <comment ref="A104" authorId="0" shapeId="0" xr:uid="{E8446591-E528-4DB7-B5A6-505E4B988219}">
      <text>
        <r>
          <rPr>
            <sz val="9"/>
            <color indexed="81"/>
            <rFont val="Segoe UI"/>
            <charset val="1"/>
          </rPr>
          <t>Insight iXlW00001C0000104R0080105531S00000206P01624LAocjBAQBF1NjaVRlZ2ljLmRhdGEuTW9sZWN1bGUBbwF/ARJTY2lUZWdpYy5Nb2xlY3VsZQAAAQFkAv5qAQAAAAIAAgEWIAAAAPz8APwAAgAAAAAAAPC/AAAAAAAAGAAAAPz8APwAAgAAAAAAAPC/AAKWQ4ts5/v3vwAAAAAgAAAA/PwA/AACAAAAAAAA8L8CS1mGONbF9D8Ct9EA3gIJAsAAAAAAHAAAAPz8APwAAgAAAAAAAPC/AktZhjjWxfS/ArfRAN4CCQLAAAAAABgAAAD8/AD8AAIAAAAAAADwvwKEL0ymCsYEQAKWQ4ts5/v3vwAAAAAYAAAA/PwA/AACAAAAAAAA8L8ChC9MpgrGBMACsr/snjws+L8AAAAAGAAAAPz8APwAAgAAAAAAAPC/Ailcj8L1KA9AArfRAN4CCQLAAAAAABgAAAD8/AD8AAIAAAAAAADwvwKEL0ymCsYEQAAAAAAAGAAAAPz8APwAAgAAAAAAAPC/AoQvTKYKxgTAAu0NvjCZKoi/AAAAABgAAAD8/AD8AAIAAAAAAADwvwIpXI/C9SgPwAK30QDeAgkCwAAAAAAYAAAA/PwA/AACAAAAAAAA8L8CZ0Rpb/DFFEAClkOLbOf7978AAAAAGAAAAPz8APwAAgAAAAAAAPC/Ailcj8L1KA9AAnrHKTqSy+c/AAAAABgAAAD8/AD8AAIAAAAAAADwvwIpXI/C9SgPwAJ6xyk6ksvnPwAAAAAYAAAA/PwA/AACAAAAAAAA8L8CZ0Rpb/DFFMACsr/snjws+L8AAAAAHAAAAPz8APwAAgAAAAAAAPC/AtfFbTSA9xlAArfRAN4CCQLAAAAAABgAAAD8/AD8AAIAAAAAAADwvwJnRGlv8MUUQAAAAAAAGAAAAPz8APwAAgAAAAAAAPC/AmdEaW/wxRTAAu0NvjCZKoi/AAAAABgAAAD8/AD8AAIAAAAAAADwvwIpXI/C9SgfQAKWQ4ts5/v3vwAAAAAgAAAA/PwA/AACAAAAAAAA8L8CKVyPwvUoH0AAAAAAACAAAAD8/AD8AAIAAAAAAADwvwI+eVioNS0iQAK30QDeAgkCwAAAAAAYAAAA/PwA/AACAAAAAAAA8L8C9rnaiv3FJEAClkOLbOf7978AAAAAGAAAAPz8APwAAgAAAAAAAPC/Ah+F61G4XidAArfRAN4CCQLAAAAAAAEXAAQBZQgAAAAAAAAAAAQIAWUEAAAAAAAAAAAEDAFlBAAAAAAAAAAACBABZQQAAAAAAAAAAAwUAWUEAAAAAAAAAAAQGAFlCAwAAAAAAAAAEBwBZQQAAAAAAAAAABQgAWUIDAAAAAAAAAAUJAFlBAAAAAAAAAAAGCgBZQQAAAAAAAAAABwsAWUICAAAAAAAAAAgMAFlBAAAAAAAAAAAJDQBZQgIAAAAAAAAACg4AWUEAAAAAAAAAAAoPAFlCAgAAAAAAAAAMAEQAWUICAAAAAAAAAA4AREBZQQAAAAAAAAAAAERARIBZQgAAAAAAAAAAAERARMBZQQAAAAAAAAAAAETARQBZQQAAAAAAAAAAAEUARUBZQQAAAAAAAAAACw8AWUEAAAAAAAAAAA0ARABZQQAAAAAAAAAAAAAAAA=</t>
        </r>
      </text>
    </comment>
    <comment ref="A105" authorId="0" shapeId="0" xr:uid="{DB5C1E5C-DD2F-4B9E-A7D1-079E7D9E5BAE}">
      <text>
        <r>
          <rPr>
            <sz val="9"/>
            <color indexed="81"/>
            <rFont val="Segoe UI"/>
            <charset val="1"/>
          </rPr>
          <t>Insight iXlW00001C0000105R0080105531S00000208P01068LAocjBAQBF1NjaVRlZ2ljLmRhdGEuTW9sZWN1bGUBbwF/ARJTY2lUZWdpYy5Nb2xlY3VsZQAAAQFkAv5qAQAAAAIAAjgBEAAAAPz8APwAAgAAAAAAAPC/AAAAAAAAGAAAAPz8APwAAgAAAAAAAPC/Aj2bVZ+rrZi/AgwkKH6Mufe/AAAAABgAAAD8/AD8AAIAAAAAAADwvwIPnDOitDf1vwLG/rJ78rDoPwAAAAAcAAAA/PwA/AACAAAAAAAA8L8CyJi7lpAP9D8CgSbChqfXAcAAAAAAHAAAAPz8APwAAgAAAAAAAPC/AnzysFBrmvW/AoEmwoan1wHAAAAAABgAAAD8/AD8AAIAAAAAAADwvwJbQj7o2azzPwKHONbFbbQNwAAAAAAYAAAA/PwA/AACAAAAAAAA8L8C6Ugu/yH99b8ChzjWxW20DcAAAAAAHAAAAPz8APwAAgAAAAAAAPC/Aj2bVZ+rrbi/AiUGgZVDyxHAAAAAABwAAAD8/AD8AAIAAAAAAADwvwKQwvUoXA8EQAIlBoGVQ8sRwAAAAAAcAAAA/PwA/AACAAAAAAAA8L8CfPKwUGuaBcACJQaBlUPLEcAAAAAAGAAAAPz8APwAAgAAAAAAAPC/Aio6kst/SA5AAplMFYxKag3AAAAAABgAAAD8/AD8AAIAAAAAAADwvwJCYOXQIhsQwAKZTBWMSmoNwAAAAAAYAAAA/PwA/AACAAAAAAAA8L8C4lgXt9FAFEACLpCg+DGmEcAAAAAAGAAAAPz8APwAAgAAAAAAAPC/AvSOU3QkFw5AAibkg57NKgHAAAAAADgABAFlBAAAAAAAAAAAAAgBZQQAAAAAAAAAAAQMAWUIDAAAAAAAAAAEEAFlBAAAAAAAAAAADBQBZQQAAAAAAAAAABAYAWUIDAAAAAAAAAAUHAFlCAgAAAAAAAAAFCABZQQAAAAAAAAAABgkAWUEAAAAAAAAAAAgKAFlBAAAAAAAAAAAJCwBZQQAAAAAAAAAACgwAWUEAAAAAAAAAAAoNAFlBAAAAAAAAAAAGBwBZQQAAAAAAAAAAAAAAAA=</t>
        </r>
      </text>
    </comment>
    <comment ref="A106" authorId="0" shapeId="0" xr:uid="{2A647F3E-8B95-43D5-813F-3AB4AE9AEA62}">
      <text>
        <r>
          <rPr>
            <sz val="9"/>
            <color indexed="81"/>
            <rFont val="Segoe UI"/>
            <charset val="1"/>
          </rPr>
          <t>Insight iXlW00001C0000106R0080105531S00000210P00976LAocjBAQBF1NjaVRlZ2ljLmRhdGEuTW9sZWN1bGUBbwF/ARJTY2lUZWdpYy5Nb2xlY3VsZQAAAQFkAv5qAQAAAAIAAjQBEQAAAPz8APwAAgAAAAAAAPC/AAAAAAAAGAAAAPz8APwAAgAAAAAAAPC/Ai2yne+nxvQ/ApQYBFYOLeg/AAAAABgAAAD8/AD8AAIAAAAAAADwvwJmiGNd3MYEQAAAAAAAGAAAAPz8APwAAgAAAAAAAPC/Ai2yne+nxvQ/AmFUUiegCQJAAAAAACAAAAD8/AD8AAIAAAAAAADwvwJmiGNd3MYEQAJ4nKIjufz3vwAAAAAYAAAA/PwA/AACAAAAAAAA8L8CfWEyVTAqD0AClBgEVg4t6D8AAAAAGAAAAPz8APwAAgAAAAAAAPC/AmaIY13cxgRAAnicoiO5/AdAAAAAABgAAAD8/AD8AAIAAAAAAADwvwItsp3vp8b0PwJhVFInoAkCwAAAAAAYAAAA/PwA/AACAAAAAAAA8L8CfWEyVTAqD0ACYVRSJ6AJAkAAAAAAGAAAAPz8APwAAgAAAAAAAPC/AkqdgCbCxhRAAAAAAAABEQAAAPz8APwAAgAAAAAAAPC/AkqdgCbCxhRAAnicoiO5/AdAAAAAACAAAAD8/AD8AAIAAAAAAADwvwLVCWgibPgZQAKUGARWDi3oPwAAAAAgAAAA/PwA/AACAAAAAAAA8L8CSp2AJsLGFEACeJyiI7n8978AAAAANAAEAWUEAAAAAAAAAAAECAFlCAgAAAAAAAAABAwBZQQAAAAAAAAAAAgQAWUEAAAAAAAAAAAIFAFlBAAAAAAAAAAADBgBZQgIAAAAAAAAABAcAWUEAAAAAAAAAAAUIAFlCAwAAAAAAAAAFCQBZQQAAAAAAAAAACAoAWUEAAAAAAAAAAAkLAFlCAAAAAAAAAAAJDABZQQAAAAAAAAAABggAWUEAAAAAAAAAAAAAAAA</t>
        </r>
      </text>
    </comment>
    <comment ref="A107" authorId="0" shapeId="0" xr:uid="{9C7A7C12-9C14-4A61-A7E6-E696DBB91DE5}">
      <text>
        <r>
          <rPr>
            <sz val="9"/>
            <color indexed="81"/>
            <rFont val="Segoe UI"/>
            <charset val="1"/>
          </rPr>
          <t>Insight iXlW00001C0000107R0080105531S00000212P00764LAocjBAQBF1NjaVRlZ2ljLmRhdGEuTW9sZWN1bGUBbwF/ARJTY2lUZWdpYy5Nb2xlY3VsZQAAAQFkAv5qAQAAAAIAAigBEQAAAPz8APwAAgAAAAAAAPC/AAAAAAAAGAAAAPz8APwAAgAAAAAAAPC/AuGcEaW9wfS/AmWqYFRSJ+i/AAAAABgAAAD8/AD8AAIAAAAAAADwvwLhnBGlvcH0vwK+wRcmUwUCwAAAAAAYAAAA/PwA/AACAAAAAAAA8L8CGXPXEvLBBMAAAAAAABgAAAD8/AD8AAIAAAAAAADwvwACV+wvuycPCMAAAAAAGAAAAPz8APwAAgAAAAAAAPC/Ahlz1xLywQTAAlfsL7snDwjAAAAAABgAAAD8/AD8AAIAAAAAAADwvwKKQWDl0CIPwAJlqmBUUifovwAAAAAcAAAA/PwA/AACAAAAAAAA8L8C4ZwRpb3B9D8CKe0NvjAZDsAAAAAAAREAAAD8/AD8AAIAAAAAAADwvwIZc9cS8sEEwALarPpcbQUSwAAAAAAYAAAA/PwA/AACAAAAAAAA8L8CikFg5dAiD8ACvsEXJlMFAsAAAAAAKAAEAWUEAAAAAAAAAAAECAFlCAgAAAAAAAAABAwBZQQAAAAAAAAAAAgQAWUEAAAAAAAAAAAIFAFlBAAAAAAAAAAADBgBZQgIAAAAAAAAABAcAWUMAAAAAAAAAAAUIAFlBAAAAAAAAAAAFCQBZQgIAAAAAAAAABgkAWUEAAAAAAAAAAAAAAAA</t>
        </r>
      </text>
    </comment>
    <comment ref="A108" authorId="0" shapeId="0" xr:uid="{FD265634-3BA6-417D-A627-4505B65C814D}">
      <text>
        <r>
          <rPr>
            <sz val="9"/>
            <color indexed="81"/>
            <rFont val="Segoe UI"/>
            <charset val="1"/>
          </rPr>
          <t>Insight iXlW00001C0000108R0080105531S00000214P01036LAocjBAQBF1NjaVRlZ2ljLmRhdGEuTW9sZWN1bGUBbwF/ARJTY2lUZWdpYy5Nb2xlY3VsZQAAAQFkAv5qAQAAAAIAAjgBEQAAAPz8APwAAgAAAAAAAPC/AAAAAAAAGAAAAPz8APwAAgAAAAAAAPC/AsfctYR80PS/Arn8h/Tb1+e/AAAAABgAAAD8/AD8AAIAAAAAAADwvwLH3LWEfND0vwKZu5aQD/oBwAAAAAAYAAAA/PwA/AACAAAAAAAA8L8C/7J78rDQBMAAAAAAACAAAAD8/AD8AAIAAAAAAADwvwACx7q4jQbwB8AAAAAAGAAAAPz8APwAAgAAAAAAAPC/Av+ye/Kw0ATAAse6uI0G8AfAAAAAABgAAAD8/AD8AAIAAAAAAADwvwJiodY07zgPwAK5/If029fnvwAAAAAYDAAA/PwA/AACAAAAAAAA8L8Cx9y1hHzQ9D8CmbuWkA/6AcAAAAAAGAAAAPz8APwAAgAAAAAAAPC/AmKh1jTvOA/AApm7lpAP+gHAAAAAAAERAAAA/PwA/AACAAAAAAAA8L8C/7J78rDQFMAAAAAAABgAAAD8/AD8AAIAAAAAAADwvwL/snvysNAEQALHuriNBvAHwAAAAAAYAAAA/PwA/AACAAAAAAAA8L8Cx9y1hHzQ9D8CufyH9NvX578AAAAAIAAAAPz8APwAAgAAAAAAAPC/AmKh1jTvOA9AApm7lpAP+gHAAAAAACAAAAD8/AD8AAIAAAAAAADwvwL/snvysNAEQAKZu5aQD/oRwAAAAAA4AAQBZQQAAAAAAAAAAAQIAWUICAAAAAAAAAAEDAFlBAAAAAAAAAAACBABZQQAAAAAAAAAAAgUAWUEAAAAAAAAAAAMGAFlCAwAAAAAAAAAEBwBZQQAAAAAAAAAABQgAWUICAAAAAAAAAAYJAFlBAAAAAAAAAAAHCgBZQQAAAAAAAAAABwsAWUEEAAAAAAAAAAoMAFlCAAAAAAAAAAAKDQBZQQAAAAAAAAAABggAWUEAAAAAAAAAAAAAAAA</t>
        </r>
      </text>
    </comment>
    <comment ref="A109" authorId="0" shapeId="0" xr:uid="{E3AE71D6-60B0-4C24-8C30-4FD321B5F42B}">
      <text>
        <r>
          <rPr>
            <sz val="9"/>
            <color indexed="81"/>
            <rFont val="Segoe UI"/>
            <charset val="1"/>
          </rPr>
          <t>Insight iXlW00001C0000109R0080105531S00000216P01648LAocjBAQBF1NjaVRlZ2ljLmRhdGEuTW9sZWN1bGUBbwF/ARJTY2lUZWdpYy5Nb2xlY3VsZQAAAQFkAv5qAQAAAAIAAgEWAREAAAD8/AD8AAIAAAAAAADwvwAAAAAAABgAAAD8/AD8AAIAAAAAAADwvwACPE7RkVz+978AAAAAGAAAAPz8APwAAgAAAAAAAPC/AvJjzF1LyPQ/Au0vuycPCwLAAAAAABgAAAD8/AD8AAIAAAAAAADwvwLyY8xdS8j0vwLtL7snDwsCwAAAAAAgAAAA/PwA/AACAAAAAAAA8L8C8mPMXUvIBEACPE7RkVz+978AAAAAGAAAAPz8APwAAgAAAAAAAPC/AvJjzF1LyPQ/AgvXo3A9Cg7AAAAAABgAAAD8/AD8AAIAAAAAAADwvwLyY8xdS8j0vwIL16NwPQoOwAAAAAAYAAAA/PwA/AACAAAAAAAA8L8C6pWyDHEsD0AC7S+7Jw8LAsAAAAAAGAAAAPz8APwAAgAAAAAAAPC/AALJ5T+k3/4RwAAAAAABEQAAAPz8APwAAgAAAAAAAPC/AvJjzF1LyATAAsnlP6Tf/hHAAAAAABgAAAD8/AD8AAIAAAAAAADwvwLyY8xdS8gUQAI8TtGRXP73vwAAAAAYAAAA/PwA/AACAAAAAAAA8L8C6pWyDHEsD0ACC9ejcD0KDsAAAAAAGAAAAPz8APwAAgAAAAAAAPC/Au58PzVe+hlAAu0vuycPCwLAAAAAABgAAAD8/AD8AAIAAAAAAADwvwLyY8xdS8gUQALJ5T+k3/4RwAAAAAAYAAAA/PwA/AACAAAAAAAA8L8C7nw/NV76GUACC9ejcD0KDsAAAAAAIAAAAPz8APwAAgAAAAAAAPC/AuqVsgxxLB9AAsnlP6Tf/hHAAAAAABgMAAD8/AD8AAIAAAAAAADwvwLqlbIMcSwfQAJYObTIdv4XwAAAAAAYAAAA/PwA/AACAAAAAAAA8L8Cc9cS8kEvIkACo5I6AU0EG8AAAAAAGAAAAPz8APwAAgAAAAAAAPC/Au58PzVe+hlAAqOSOgFNBBvAAAAAACAAAAD8/AD8AAIAAAAAAADwvwLyY8xdS8gkQAJYObTIdv4XwAAAAAAgAAAA/PwA/AACAAAAAAAA8L8Cc9cS8kEvIkACp+hILv+BIMAAAAAAGAAAAPz8APwAAgAAAAAAAPC/AvJjzF1LyCRAAsnlP6Tf/iHAAAAAAAEXAAQBZQQAAAAAAAAAAAQIAWUICAAAAAAAAAAEDAFlBAAAAAAAAAAACBABZQQAAAAAAAAAAAgUAWUEAAAAAAAAAAAMGAFlCAwAAAAAAAAAEBwBZQQAAAAAAAAAABQgAWUICAAAAAAAAAAYJAFlBAAAAAAAAAAAHCgBZQgMAAAAAAAAABwsAWUEAAAAAAAAAAAoMAFlBAAAAAAAAAAALDQBZQgIAAAAAAAAADA4AWUIDAAAAAAAAAA4PAFlBAAAAAAAAAAAPAEQAWUEAAAAAAAAAAABEAERAWUEAAAAAAAAAAABEAESAWUEFAAAAAAAAAABEQETAWUIAAAAAAAAAAABEQEUAWUEAAAAAAAAAAABFAEVAWUEAAAAAAAAAAAYIAFlBAAAAAAAAAAANDgBZQQAAAAAAAAAAAAAAAA=</t>
        </r>
      </text>
    </comment>
    <comment ref="A110" authorId="0" shapeId="0" xr:uid="{5FB93DF6-1F1A-46FE-B892-C171C05D6699}">
      <text>
        <r>
          <rPr>
            <sz val="9"/>
            <color indexed="81"/>
            <rFont val="Segoe UI"/>
            <charset val="1"/>
          </rPr>
          <t>Insight iXlW00001C0000110R0080105531S00000218P01868LAocjBAQBF1NjaVRlZ2ljLmRhdGEuTW9sZWN1bGUBbwF/ARJTY2lUZWdpYy5Nb2xlY3VsZQAAAQFkAv5qAQAAAAIAAgEZAREAAAD8/AD8AAIAAAAAAADwvwAAAAAAABgAAAD8/AD8AAIAAAAAAADwvwL4U+Olm8T0vwK2FfvL7snnPwAAAAAYAAAA/PwA/AACAAAAAAAA8L8C+FPjpZvE9L8CVg4tsp3vAUAAAAAAGAAAAPz8APwAAgAAAAAAAPC/AvhT46WbxATAAAAAAAAcAAAA/PwA/AACAAAAAAAA8L8AAtKRXP5D+gdAAAAAABgAAAD8/AD8AAIAAAAAAADwvwL4U+Olm8QEwALSkVz+Q/oHQAAAAAAYAAAA/PwA/AACAAAAAAAA8L8CvCcPC7UmD8ACthX7y+7J5z8AAAAAARAAAAD8/AD8AAIAAAAAAADwvwACQYLix5j7EUAAAAAAAREAAAD8/AD8AAIAAAAAAADwvwL4U+Olm8QEwAJBguLHmPsRQAAAAAAYAAAA/PwA/AACAAAAAAAA8L8CvCcPC7UmD8ACVg4tsp3vAUAAAAAAIAAAAPz8APwAAgAAAAAAAPC/AAK1pnnHKfoXQAAAAAAgAAAA/PwA/AACAAAAAAAA8L8C0pFc/kP6978CQYLix5j7EUAAAAAAGAAAAPz8APwAAgAAAAAAAPC/AtKRXP5D+vc/AkGC4seY+xFAAAAAABwAAAD8/AD8AAIAAAAAAADwvwL99nXgnBEDQAIOvjCZKtgWQAAAAAAcAAAA/PwA/AACAAAAAAAA8L8C/fZ14JwRA0ACIGPuWkI+CkAAAAAAHAAAAPz8APwAAgAAAAAAAPC/ApPLf0i/fQ5AAv9D+u3rABVAAAAAABgAAAD8/AD8AAIAAAAAAADwvwKTy39Iv30OQAI/V1uxv+wNQAAAAAAYAAAA/PwA/AACAAAAAAAA8L8Cq8/VVuxvFEACvAUSFD8GGEAAAAAAGAAAAPz8APwAAgAAAAAAAPC/AqvP1VbsbxRAAtKRXP5D+gdAAAAAACAAAAD8/AD8AAIAAAAAAADwvwKrz9VW7G8UQAIxKqkT0AQeQAAAAAAcAAAA/PwA/AACAAAAAAAA8L8CqaROQBOhGUAC/0P67esAFUAAAAAAGAAAAPz8APwAAgAAAAAAAPC/AqmkTkAToRlAAj9XW7G/7A1AAAAAABgAAAD8/AD8AAIAAAAAAADwvwKppE5AE6EZQAJ0RpT2Bn8gQAAAAAAkAAAA/PwA/AACAAAAAAAA8L8Cp3nHKTrSHkACxNMrZRniB0AAAAAAGAAAAPz8APwAAgAAAAAAAPC/AqmkTkAToRlAAq7YX3ZPfiNAAAAAAAEbAAQBZQQAAAAAAAAAAAQIAWUICAAAAAAAAAAEDAFlBAAAAAAAAAAACBABZQQAAAAAAAAAAAgUAWUEAAAAAAAAAAAMGAFlCAgAAAAAAAAAEBwBZQQAAAAAAAAAABQgAWUEAAAAAAAAAAAUJAFlCAgAAAAAAAAAHCgBZQgAAAAAAAAAABwsAWUIAAAAAAAAAAAcMAFlBAAAAAAAAAAAMDQBZQgMAAAAAAAAADA4AWUEAAAAAAAAAAA0PAFlBAAAAAAAAAAAOAEQAWUIDAAAAAAAAAA8AREBZQQAAAAAAAAAAAEQARIBZQQAAAAAAAAAAAERARMBZQQAAAAAAAAAAAERARQBZQgIAAAAAAAAAAESARUBZQgMAAAAAAAAAAETARYBZQQAAAAAAAAAAAEVARcBZQQAAAAAAAAAAAEWARgBZQQAAAAAAAAAABgkAWUEAAAAAAAAAAA8ARABZQQAAAAAAAAAAAEUARUBZQQAAAAAAAAAAAAAAAA=</t>
        </r>
      </text>
    </comment>
    <comment ref="A111" authorId="0" shapeId="0" xr:uid="{3B1984B6-DFCD-4060-BD4A-9346246B6EA0}">
      <text>
        <r>
          <rPr>
            <sz val="9"/>
            <color indexed="81"/>
            <rFont val="Segoe UI"/>
            <charset val="1"/>
          </rPr>
          <t>Insight iXlW00001C0000111R0080105531S00000220P01576LAocjBAQBF1NjaVRlZ2ljLmRhdGEuTW9sZWN1bGUBbwF/ARJTY2lUZWdpYy5Nb2xlY3VsZQAAAQFkAv5qAQAAAAIAAgEVAREAAAD8/AD8AAIAAAAAAADwvwAAAAAAABgAAAD8/AD8AAIAAAAAAADwvwL129eBc0b1vwL8OnDOiNLmvwAAAAAYAAAA/PwA/AACAAAAAAAA8L8C9dvXgXNGBcACP1dbsb/srj8AAAAAIAAAAPz8APwAAgAAAAAAAPC/AqwcWmQ7XwXAAi4hH/RsVvk/AAAAABwAAAD8/AD8AAIAAAAAAADwvwLvycNCrekPwAKIhVrTvOPkvwAAAAAYAAAA/PwA/AACAAAAAAAA8L8C9dvXgXNGFcACUB4Wak3zvj8AAAAAGAAAAPz8APwAAgAAAAAAAPC/AmdmZmZmJhDAApf/kH77ugDAAAAAABgAAAD8/AD8AAIAAAAAAADwvwLy0k1iEJgawAIQejarPlfjvwAAAAAYAAAA/PwA/AACAAAAAAAA8L8CZF3cRgN4FcACV32utmJ/+j8AAAAAGAAAAPz8APwAAgAAAAAAAPC/AlYOLbKdbwbAAg5Pr5RliAbAAAAAABgAAAD8/AD8AAIAAAAAAADwvwLvycNCrekfwAKA2T15WKjFPwAAAAAYAAAA/PwA/AACAAAAAAAA8L8CYVRSJ6DJGsACufyH9NtXAMAAAAAAGAAAAPz8APwAAgAAAAAAAPC/AmFUUiegyRrAAse6uI0GcANAAAAAABgAAAD8/AD8AAIAAAAAAADwvwIofoy5a4kQwALHuriNBnADQAAAAAAgAAAA/PwA/AACAAAAAAAA8L8CJ8KGp1fK978Cl/+Qfvu6AMAAAAAAIAAAAPz8APwAAgAAAAAAAPC/Avw6cM6I0gbAAqLWNO84BRHAAAAAABgAAAD8/AD8AAIAAAAAAADwvwKvJeSDng0gwAKi1jTvOEX7PwAAAAAYAAAA/PwA/AACAAAAAAAA8L8CgZVDi2wHIMAC54wo7Q0+BsAAAAAAGAAAAPz8APwAAgAAAAAAAPC/Ah/0bFZ9rhDAAgHeAgmKnw9AAAAAABgAAAD8/AD8AAIAAAAAAADwvwIs9pfdk4f5vwL4U+OlmwQUwAAAAAAYAAAA/PwA/AACAAAAAAAA8L8Cm3ecoiO5+b8C3iQGgZUDGsAAAAAAARUABAFlBAAAAAAAAAAABAgBZQQAAAAAAAAAAAgMAWUIAAAAAAAAAAAIEAFlBAAAAAAAAAAAEBQBZQQAAAAAAAAAABAYAWUEAAAAAAAAAAAUHAFlCAwAAAAAAAAAFCABZQQAAAAAAAAAABgkAWUEAAAAAAAAAAAcKAFlBAAAAAAAAAAAHCwBZQQAAAAAAAAAACAwAWUICAAAAAAAAAAgNAFlBAAAAAAAAAAAJDgBZQgAAAAAAAAAACQ8AWUEAAAAAAAAAAAoARABZQgIAAAAAAAAACwBEQFlBAAAAAAAAAAANAESAWUEAAAAAAAAAAA8ARMBZQQAAAAAAAAAAAETARQBZQQAAAAAAAAAADABEAFlBAAAAAAAAAAAAAAAAA==</t>
        </r>
      </text>
    </comment>
    <comment ref="A112" authorId="0" shapeId="0" xr:uid="{49FDCD6D-FDD1-477A-92E9-9EC181AA91E8}">
      <text>
        <r>
          <rPr>
            <sz val="9"/>
            <color indexed="81"/>
            <rFont val="Segoe UI"/>
            <charset val="1"/>
          </rPr>
          <t>Insight iXlW00001C0000112R0080105531S00000222P01596LAocjBAQBF1NjaVRlZ2ljLmRhdGEuTW9sZWN1bGUBbwF/ARJTY2lUZWdpYy5Nb2xlY3VsZQAAAQFkAv5qAQAAAAIAAgEVIAAAAPz8APwAAgAAAAAAAPC/AAAAAAAAGAAAAPz8APwAAgAAAAAAAPC/AvLSTWIQWKk/Ak7zjlN0JPm/AAAAABwAAAD8/AD8AAIAAAAAAADwvwIH8BZIUPz0PwIYt9EA3oICwAAAAAAcAAAA/PwA/AACAAAAAAAA8L8C2BLyQc9m878CY+5aQj7oAsAAAAAAGAAAAPz8APwAAgAAAAAAAPC/Aru4jQbwlgRAAicxCKwcWvi/AAAAABgAAAD8/AD8AAIAAAAAAADwvwJvgQTFjzH0PwInwoanV0oOwAAAAAAYAAAA/PwA/AACAAAAAAAA8L8CI0p7gy/MA8AC5WGh1jTv+b8AAAAAGAAAAPz8APwAAgAAAAAAAPC/AtuK/WX35A3AAq8l5IOeTQPAAAAAABgAAAD8/AD8AAIAAAAAAADwvwIjSnuDL8wDwALy0k1iEFi5vwAAAAAYAAAA/PwA/AACAAAAAAAA8L8CyeU/pN/+E8ACfdCzWfW5+r8AAAAAGAAAAPz8APwAAgAAAAAAAPC/AtuK/WX35A3AAoPix5i7luQ/AAAAABgAAAD8/AD8AAIAAAAAAADwvwLJ5T+k3/4TwAI2XrpJDALDvwAAAAAgAAAA/PwA/AACAAAAAAAA8L8Cy6FFtvM9GcACXCBB8WPM4z8AAAAAGAAAAPz8APwAAgAAAAAAAPC/AoiFWtO8Yx7AAkeU9gZfmMS/AAAAABgAAAD8/AD8AAIAAAAAAADwvwKitDf4wsQhwAKxUGuad5ziPwAAAAAYAAAA/PwA/AACAAAAAAAA8L8CQ61p3nFKHsACAd4CCYof+78AAAAAGAAAAPz8APwAAgAAAAAAAPC/AvOwUGuaVyTAAgMJih9j7sq/AAAAABgAAAD8/AD8AAIAAAAAAADwvwLy0k1iELghwAKFDU+vlOUDwAAAAAAYAAAA/PwA/AACAAAAAAAA8L8C0ETY8PRKJMACmUwVjErq+78AAAAAIAAAAPz8APwAAgAAAAAAAPC/AiFB8WPM3SbAAm+BBMWPMQTAAAAAABgAAAD8/AD8AAIAAAAAAADwvwLXo3A9CncpwAKsrdhfdk/8vwAAAAABFgAEAWUIAAAAAAAAAAAECAFlBAAAAAAAAAAABAwBZQQAAAAAAAAAAAgQAWUEAAAAAAAAAAAIFAFlBAAAAAAAAAAADBgBZQQAAAAAAAAAABgcAWUIDAAAAAAAAAAYIAFlBAAAAAAAAAAAHCQBZQQAAAAAAAAAACAoAWUICAAAAAAAAAAkLAFlCAwAAAAAAAAALDABZQQAAAAAAAAAADA0AWUEAAAAAAAAAAA0OAFlCAwAAAAAAAAANDwBZQQAAAAAAAAAADgBEAFlBAAAAAAAAAAAPAERAWUICAAAAAAAAAABEAESAWUIDAAAAAAAAAABEgETAWUEAAAAAAAAAAABEwEUAWUEAAAAAAAAAAAoLAFlBAAAAAAAAAAAAREBEgFlBAAAAAAAAAAAAAAAAA==</t>
        </r>
      </text>
    </comment>
    <comment ref="A113" authorId="0" shapeId="0" xr:uid="{061D6C29-637B-4B11-B6BD-174C7A15677A}">
      <text>
        <r>
          <rPr>
            <sz val="9"/>
            <color indexed="81"/>
            <rFont val="Segoe UI"/>
            <charset val="1"/>
          </rPr>
          <t>Insight iXlW00001C0000113R0080105531S00000224P01848LAocjBAQBF1NjaVRlZ2ljLmRhdGEuTW9sZWN1bGUBbwF/ARJTY2lUZWdpYy5Nb2xlY3VsZQAAAQFkAv5qAQAAAAIAAgEZARAAAAD8/AD8AAIAAAAAAADwvwAAAAAAACAAAAD8/AD8AAIAAAAAAADwvwACHqfoSC7/9z8AAAAAIAAAAPz8APwAAgAAAAAAAPC/Ah6n6Egu//c/AAAAAAAgAAAA/PwA/AACAAAAAAAA8L8CHqfoSC7/978AAAAAACAA/AD8/AD8AAIAAAAAAADwvwACHqfoSC7/978AAAAAGAAAAPz8APwAAgAAAAAAAPC/AlAeFmpN8wHAAmMQWDm0yPS/AAAAABwABAD8/AD8AAIAAAAAAADwvwJ7pSxDHOsVwAK7Jw8LtabzvwAAAAAcAAAA/PwA/AACAAAAAAAA8L8C+n5qvHQTFMAC4ZwRpb1BBcAAAAAAGAAAAPz8APwAAgAAAAAAAPC/Aibkg57N6hvAArsnDwu1pvO/AAAAABgAAAD8/AD8AAIAAAAAAADwvwKrYFRSJ2ASwALtDb4wmSqIvwAAAAAYAAAA/PwA/AACAAAAAAAA8L8C4umVsgzxGMACgSbChqdXDMAAAAAAGAAAAPz8APwAAgAAAAAAAPC/AvH0SlmGuAzAAuLplbIM8QjAAAAAABgAAAD8/AD8AAIAAAAAAADwvwISFD/G3HUfwALtDb4wmSqIvwAAAAAYAAAA/PwA/AACAAAAAAAA8L8CpwpGJXXCHcAC4ZwRpb1BBcAAAAAAGAAAAPz8APwAAgAAAAAAAPC/AuLplbIM8RjAAgg9m1WfKxTAAAAAABgAAAD8/AD8AAIAAAAAAADwvwIbL90kBgEdwAJfKcsQx7r1PwAAAAAYAAAA/PwA/AACAAAAAAAA8L8C2/l+ary0IsACuK8D54woxb8AAAAAGAAAAPz8APwAAgAAAAAAAPC/Aq36XG3FvhPAAmgibHh6JRfAAAAAABgAAAD8/AD8AAIAAAAAAADwvwL77evAOSMewAJoImx4eiUXwAAAAAAYAAAA/PwA/AACAAAAAAAA8L8C9rnaiv1FIMACR5T2Bl+YBEAAAAAAGAAAAPz8APwAAgAAAAAAAPC/AkMc6+I2eiTAAjiJQWDl0PA/AAAAABgAAAD8/AD8AAIAAAAAAADwvwKt+lxtxb4TwAIwTKYKRiUdwAAAAAAYAAAA/PwA/AACAAAAAAAA8L8C++3rwDkjHsACMEymCkYlHcAAAAAAGAAAAPz8APwAAgAAAAAAAPC/AsgpOpLLPyPAAlkXt9EAXgNAAAAAABgAAAD8/AD8AAIAAAAAAADwvwLi6ZWyDPEYwALImLuWkA8gwAAAAAABGgAEAWUIAAAAAAAAAAAACAFlCAAAAAAAAAAAAAwBZQQAAAAAAAAAAAAQAWUEAAAAAAAAAAAMFAFlBAAAAAAAAAAAGBwBZQQAAAAAAAAAABggAWUIDAAAAAAAAAAYJAFlBAAAAAAAAAAAHCgBZQQAAAAAAAAAABwsAWUEAAAAAAAAAAAgMAFlBAAAAAAAAAAAIDQBZQQAAAAAAAAAACg4AWUEAAAAAAAAAAAwPAFlCAwAAAAAAAAAMAEQAWUEAAAAAAAAAAA4AREBZQgMAAAAAAAAADgBEgFlBAAAAAAAAAAAPAETAWUEAAAAAAAAAAABEAEUAWUICAAAAAAAAAABEQEVAWUEAAAAAAAAAAABEgEWAWUICAAAAAAAAAABEwEXAWUICAAAAAAAAAABFQEYAWUICAAAAAAAAAAoNAFlCAgAAAAAAAAAARQBFwFlBAAAAAAAAAAAARYBGAFlBAAAAAAAAAAAAAAAAA==</t>
        </r>
      </text>
    </comment>
    <comment ref="A114" authorId="0" shapeId="0" xr:uid="{7684C01F-B3C7-4166-B56E-17F7C22B6872}">
      <text>
        <r>
          <rPr>
            <sz val="9"/>
            <color indexed="81"/>
            <rFont val="Segoe UI"/>
            <charset val="1"/>
          </rPr>
          <t>Insight iXlW00001C0000114R0080105531S00000226P02128LAocjBAQBF1NjaVRlZ2ljLmRhdGEuTW9sZWN1bGUBbwF/ARJTY2lUZWdpYy5Nb2xlY3VsZQAAAQFkAv5qAQAAAAIAAgEcJAAAAPz8APwAAgAAAAAAAPC/AAAAAAAAGAAAAPz8APwAAgAAAAAAAPC/AvJjzF1LyPS/AjojSnuDL+g/AAAAABgAAAD8/AD8AAIAAAAAAADwvwIqOpLLf8gEwALtDb4wmSqIPwAAAAAYAAAA/PwA/AACAAAAAAAA8L8C8mPMXUvI9L8C7S+7Jw8LAkAAAAAAHAAAAPz8APwAAgAAAAAAAPC/Aio6kst/yATAApF++zpwzve/AAAAABgAAAD8/AD8AAIAAAAAAADwvwIjbHh6pSwPwAJyGw3gLZDoPwAAAAAYAAAA/PwA/AACAAAAAAAA8L8CKjqSy3/IBMACu7iNBvAWCEAAAAAAGAAAAPz8APwAAgAAAAAAAPC/AiNseHqlLA/AAtGzWfW52gHAAAAAABgAAAD8/AD8AAIAAAAAAADwvwIjbHh6pSwPwAIzxLEubiMCQAAAAAAkAAAA/PwA/AACAAAAAAAA8L8CKjqSy3/IBMACCRueXikLEkAAAAAAIAAAAPz8APwAAgAAAAAAAPC/Aio6kst/yBTAAnUCmggbnve/AAAAABgAAAD8/AD8AAIAAAAAAADwvwIjbHh6pSwPwAInMQisHNoNwAAAAAAYAAAA/PwA/AACAAAAAAAA8L8CKjqSy3/IFMAC9P3UeOnmEcAAAAAAGAAAAPz8APwAAgAAAAAAAPC/Aio6kst/yATAAvtcbcX+8hHAAAAAACAAAAD8/AD8AAIAAAAAAADwvwImUwWjkvoZwAIZc9cS8sENwAAAAAAcAAAA/PwA/AACAAAAAAAA8L8CKjqSy3/IFMACnzws1JrmF8AAAAAAGAAAAPz8APwAAgAAAAAAAPC/Aio6kst/yATAAqabxCCw8hfAAAAAABgAAAD8/AD8AAIAAAAAAADwvwI/V1uxvywfwALtnjws1NoRwAAAAAAYAAAA/PwA/AACAAAAAAAA8L8CI2x4eqUsD8AC6pWyDHHsGsAAAAAAGAAAAPz8APwAAgAAAAAAAPC/Ah44Z0RpLyLAAgu1pnnHqQ3AAAAAABgAAAD8/AD8AAIAAAAAAADwvwI/V1uxvywfwAKY3ZOHhdoXwAAAAAAYAAAA/PwA/AACAAAAAAAA8L8CKjqSy3/IJMAC5j+k377OEcAAAAAAGAAAAPz8APwAAgAAAAAAAPC/Ah44Z0RpLyLAAtzXgXNG1BrAAAAAABgAAAD8/AD8AAIAAAAAAADwvwIqOpLLf8gkwAKRfvs6cM4XwAAAAAAYAAAA/PwA/AACAAAAAAAA8L8CqMZLN4lhJ8AC/vZ14JyRDcAAAAAAJAAAAPz8APwAAgAAAAAAAPC/ArXIdr6f+inAAsP1KFyPwhHAAAAAACQAAAD8/AD8AAIAAAAAAADwvwKoxks3iWEnwAKneccpOpIBwAAAAAAkAAAA/PwA/AACAAAAAAAA8L8Ctch2vp/6KcACaERpb/CFB8AAAAAAAR4ABAFlBAAAAAAAAAAABAgBZQgIAAAAAAAAAAQMAWUEAAAAAAAAAAAIEAFlBAAAAAAAAAAACBQBZQQAAAAAAAAAAAwYAWUIDAAAAAAAAAAQHAFlBAAAAAAAAAAAFCABZQgIAAAAAAAAABgkAWUEAAAAAAAAAAAcKAFlCAAAAAAAAAAAHCwBZQQAAAAAAAAAACwwAWUICAAAAAAAAAAsNAFlBAAAAAAAAAAAMDgBZQQAAAAAAAAAADA8AWUEAAAAAAAAAAA0ARABZQgIAAAAAAAAADgBEQFlBAAAAAAAAAAAPAESAWUICAAAAAAAAAABEQETAWUIDAAAAAAAAAABEQEUAWUEAAAAAAAAAAABEwEVAWUEAAAAAAAAAAABFAEWAWUICAAAAAAAAAABFQEXAWUICAAAAAAAAAABFQEYAWUEAAAAAAAAAAABGAEZAWUEAAAAAAAAAAABGAEaAWUEAAAAAAAAAAABGAEbAWUEAAAAAAAAAAAYIAFlBAAAAAAAAAAAARABEgFlBAAAAAAAAAAAARYBFwFlBAAAAAAAAAAAAAAAAA==</t>
        </r>
      </text>
    </comment>
    <comment ref="A115" authorId="0" shapeId="0" xr:uid="{97052335-F99B-4F91-B3D3-967DBA96CBE1}">
      <text>
        <r>
          <rPr>
            <sz val="9"/>
            <color indexed="81"/>
            <rFont val="Segoe UI"/>
            <charset val="1"/>
          </rPr>
          <t>Insight iXlW00001C0000115R0080105531S00000228P01816LAocjBAQBF1NjaVRlZ2ljLmRhdGEuTW9sZWN1bGUBbwF/ARJTY2lUZWdpYy5Nb2xlY3VsZQAAAQFkAv5qAQAAAAIAAgEYJAAAAPz8APwAAgAAAAAAAPC/AAAAAAAAGAAAAPz8APwAAgAAAAAAAPC/AifChqdXyvS/AsfctYR80Oc/AAAAABgAAAD8/AD8AAIAAAAAAADwvwInwoanV8r0vwLb+X5qvPQBQAAAAAAYAAAA/PwA/AACAAAAAAAA8L8CX5hMFYzKBMAC7Q2+MJkqiL8AAAAAGAAAAPz8APwAAgAAAAAAAPC/Al+YTBWMygTAAg1xrIvb6AdAAAAAABgAAAD8/AD8AAIAAAAAAADwvwJz+Q/pty8PwAKP5PIf0m/nPwAAAAAkAAAA/PwA/AACAAAAAAAA8L8CX5hMFYzKBMACvw6cM6L0EUAAAAAAGAAAAPz8APwAAgAAAAAAAPC/AnP5D+m3Lw/AApVliGNd3AFAAAAAABwAAAD8/AD8AAIAAAAAAADwvwJDrWneccoUwALtDb4wmSqIvwAAAAAYAAAA/PwA/AACAAAAAAAA8L8CzV1LyAf9GcACj+TyH9Jv5z8AAAAAIAAAAPz8APwAAgAAAAAAAPC/As1dS8gH/RnAApVliGNd3AFAAAAAABwAAAD8/AD8AAIAAAAAAADwvwJz+Q/pty8fwALtDb4wmSqYvwAAAAAcAAAA/PwA/AACAAAAAAAA8L8C/tR46SYxIsACV+wvuycP5z8AAAAAGAAAAPz8APwAAgAAAAAAAPC/AkOtad5xyiTAAnKKjuTyH6K/AAAAABgAAAD8/AD8AAIAAAAAAADwvwKIhVrTvGMnwAIf9GxWfa7mPwAAAAAYAAAA/PwA/AACAAAAAAAA8L8CQ61p3nHKJMACp3nHKTqS+L8AAAAAHAAAAPz8APwAAgAAAAAAAPC/AlvTvOMU/SnAAg+cM6K0N6i/AAAAABgAAAD8/AD8AAIAAAAAAADwvwKIhVrTvGMnwAJ56SYxCKwBQAAAAAAYAAAA/PwA/AACAAAAAAAA8L8CoKut2F+WLMAC6Pup8dJN5j8AAAAAGAAAAPz8APwAAgAAAAAAAPC/AkOtad5xyiTAAvH0SlmGuAdAAAAAABgAAAD8/AD8AAIAAAAAAADwvwJb07zjFP0pwAKrYFRSJ6AHQAAAAAAYAAAA/PwA/AACAAAAAAAA8L8CoKut2F+WLMACayv2l92TAUAAAAAAIAAAAPz8APwAAgAAAAAAAPC/AkOtad5xyiTAArFQa5p33BFAAAAAACAAAAD8/AD8AAIAAAAAAADwvwL+1HjpJjEiwAKHp1fKMsQBQAAAAAABGQAEAWUEAAAAAAAAAAAECAFlCAwAAAAAAAAABAwBZQQAAAAAAAAAAAgQAWUEAAAAAAAAAAAMFAFlCAwAAAAAAAAAEBgBZQQAAAAAAAAAABAcAWUICAAAAAAAAAAUIAFlBAAAAAAAAAAAICQBZQQAAAAAAAAAACQoAWUIAAAAAAAAAAAkLAFlBAAAAAAAAAAALDABZQQAAAAAAAAAADA0AWUIDAAAAAAAAAA0OAFlBAAAAAAAAAAANDwBZQQAAAAAAAAAADgBEAFlCAwAAAAAAAAAOAERAWUEAAAAAAAAAAABEAESAWUEAAAAAAAAAAABEQETAWUEAAAAAAAAAAABEQEUAWUICAAAAAAAAAABEgEVAWUICAAAAAAAAAABEwEWAWUIAAAAAAAAAAABEwEXAWUEAAAAAAAAAAAUHAFlBAAAAAAAAAAAARQBFQFlBAAAAAAAAAAAAAAAAA==</t>
        </r>
      </text>
    </comment>
    <comment ref="A116" authorId="0" shapeId="0" xr:uid="{9D204D39-B55C-4EA4-A1BD-2B01A8B5B3D2}">
      <text>
        <r>
          <rPr>
            <sz val="9"/>
            <color indexed="81"/>
            <rFont val="Segoe UI"/>
            <charset val="1"/>
          </rPr>
          <t>Insight iXlW00001C0000116R0080105531S00000230P01736LAocjBAQBF1NjaVRlZ2ljLmRhdGEuTW9sZWN1bGUBbwF/ARJTY2lUZWdpYy5Nb2xlY3VsZQAAAQFkAv5qAQAAAAIAAgEXAREAAAD8/AD8AAIAAAAAAADwvwAAAAAAABgAAAD8/AD8AAIAAAAAAADwvwImUwWjkjr0PwKM22gAb4HoPwAAAAAYAAAA/PwA/AACAAAAAAAA8L8C93XgnBGl8z8C0pFc/kN6AkAAAAAAGAAAAPz8APwAAgAAAAAAAPC/Au58PzVeOgRAAsTTK2UZ4pg/AAAAABwAAAD8/AD8AAIAAAAAAADwvwLFsS5uowG8vwKl374OnLMIQAAAAAAYAAAA/PwA/AACAAAAAAAA8L8CVg4tsp3vA0ACpd++DpyzCEAAAAAAGAAAAPz8APwAAgAAAAAAAPC/AoEmwoanVw5AAuqVsgxxrOk/AAAAABwAAAD8/AD8AAIAAAAAAADwvwLOqs/VVuz3vwJWDi2yne8DQAAAAAAYAAAA/PwA/AACAAAAAAAA8L8CW9O84xQd0b8C/mX35GFhEkAAAAAAGAAAAPz8APwAAgAAAAAAAPC/Aum3rwPnDA5AAmkAb4EExQJAAAAAABwAAAD8/AD8AAIAAAAAAADwvwLufD81XjoUQALFjzF3LSGvPwAAAAAYAAAA/PwA/AACAAAAAAAA8L8CRiV1ApoIBMACtOpztRX7DEAAAAAAIAAAAPz8APwAAgAAAAAAAPC/AkhQ/Bhz1+o/Au0NvjCZahZAAAAAACAAAAD8/AD8AAIAAAAAAADwvwLH3LWEfND7vwLLoUW2870TQAAAAAAYAAAA/PwA/AACAAAAAAAA8L8Ct9EA3gJJGUACiPTb14Fz6j8AAAAAGAAAAPz8APwAAgAAAAAAAPC/As+I0t7gCxDAAn4dOGdE6QtAAAAAACAAAAD8/AD8AAIAAAAAAADwvwJsmnecoiMZQAIRWDm0yPYCQAAAAAAcAAAA/PwA/AACAAAAAAAA8L8CZTvfT41XHkAC1LzjFB3JtT8AAAAAGAAAAPz8APwAAgAAAAAAAPC/Aqs+V1uxfxPAAiFB8WPM3RJAAAAAABgAAAD8/AD8AAIAAAAAAADwvwKlvcEXJpMSwAJNFYxK6gQBQAAAAAAYAAAA/PwA/AACAAAAAAAA8L8CgnNGlPYGFsACEHo2qz7XCkAAAAAAGAAAAPz8APwAAgAAAAAAAPC/AhdIUPwYsyFAAiZTBaOSOus/AAAAABgAAAD8/AD8AAIAAAAAAADwvwI17zhFRzIeQAKyv+yePCz2vwAAAAABGAAEAWUEAAAAAAAAAAAECAFlCAgAAAAAAAAABAwBZQQAAAAAAAAAAAgQAWUEAAAAAAAAAAAIFAFlBAAAAAAAAAAADBgBZQgMAAAAAAAAABAcAWUEAAAAAAAAAAAQIAFlBAAAAAAAAAAAFCQBZQgIAAAAAAAAABgoAWUEAAAAAAAAAAAcLAFlCAwAAAAAAAAAIDABZQgAAAAAAAAAACA0AWUEAAAAAAAAAAAoOAFlBAAAAAAAAAAALDwBZQQAAAAAAAAAADgBEAFlCAAAAAAAAAAAOAERAWUEAAAAAAAAAAA8ARIBZQQAAAAAAAAAADwBEwFlBAAAAAAAAAAAPAEUAWUEAAAAAAAAAAABEQEVAWUEAAAAAAAAAAABEQEWAWUEAAAAAAAAAAAYJAFlBAAAAAAAAAAALDQBZQQAAAAAAAAAAAAAAAA=</t>
        </r>
      </text>
    </comment>
    <comment ref="A117" authorId="0" shapeId="0" xr:uid="{DD58C4AA-0AE8-497F-AE0D-5E03D62A8F10}">
      <text>
        <r>
          <rPr>
            <sz val="9"/>
            <color indexed="81"/>
            <rFont val="Segoe UI"/>
            <charset val="1"/>
          </rPr>
          <t>Insight iXlW00001C0000117R0080105531S00000232P01356LAocjBAQBF1NjaVRlZ2ljLmRhdGEuTW9sZWN1bGUBbwF/ARJTY2lUZWdpYy5Nb2xlY3VsZQAAAQFkAv5qAQAAAAIAAgESARAAAAD8/AD8AAIAAAAAAADwvwAAAAAAABgAAAD8/AD8AAIAAAAAAADwvwIJG55eKcv0vwLChqdXyjLoPwAAAAAYAAAA/PwA/AACAAAAAAAA8L8CCRueXinL9D8CqTXNO07R5z8AAAAAIAAAAPz8APwAAgAAAAAAAPC/Agkbnl4py/S/AssQx7q4DQJAAAAAABwAAAD8/AD8AAIAAAAAAADwvwJB8WPMXcsEwAAAAAAAGAAAAPz8APwAAgAAAAAAAPC/AkHxY8xdywRAAAAAAAAYAAAA/PwA/AACAAAAAAAA8L8CNe84RUdyAEACJzEIrBxaAEAAAAAAGAAAAPz8APwAAgAAAAAAAPC/AmkAb4EExeE/AicxCKwcWgBAAAAAABgAAAD8/AD8AAIAAAAAAADwvwLG/rJ78jAPwALChqdXyjLoPwAAAAAYAAAA/PwA/AACAAAAAAAA8L8CQfFjzF3LBMACNl66SQwC+L8AAAAAGAAAAPz8APwAAgAAAAAAAPC/Asb+snvyMA9AAqk1zTtO0ec/AAAAABgAAAD8/AD8AAIAAAAAAADwvwJB8WPMXcsEQAI2XrpJDAL4vwAAAAAYAAAA/PwA/AACAAAAAAAA8L8CQfFjzF3LFMAC7Q2+MJkqiD8AAAAAGAAAAPz8APwAAgAAAAAAAPC/Asb+snvyMA/AAoV80LNZ9QHAAAAAABgAAAD8/AD8AAIAAAAAAADwvwJB8WPMXcsUQALtDb4wmSqIvwAAAAAYAAAA/PwA/AACAAAAAAAA8L8Cxv6ye/IwD0AChXzQs1n1AcAAAAAAGAAAAPz8APwAAgAAAAAAAPC/AkHxY8xdyxTAAhriWBe30fe/AAAAABgAAAD8/AD8AAIAAAAAAADwvwJB8WPMXcsUQAJR2ht8YTL4vwAAAAABEwAEAWUEAAAAAAAAAAAACAFlBAAAAAAAAAAABAwBZQgAAAAAAAAAAAQQAWUEAAAAAAAAAAAIFAFlBAAAAAAAAAAACBgBZQQAAAAAAAAAAAgcAWUEAAAAAAAAAAAQIAFlBAAAAAAAAAAAECQBZQQAAAAAAAAAABQoAWUIDAAAAAAAAAAULAFlBAAAAAAAAAAAIDABZQQAAAAAAAAAACQ0AWUEAAAAAAAAAAAoOAFlBAAAAAAAAAAALDwBZQgIAAAAAAAAADABEAFlBAAAAAAAAAAAOAERAWUICAAAAAAAAAA0ARABZQQAAAAAAAAAADwBEQFlBAAAAAAAAAAAAAAAAA==</t>
        </r>
      </text>
    </comment>
    <comment ref="A118" authorId="0" shapeId="0" xr:uid="{519EC89A-E311-4F71-B5B8-E2DAAEC2C501}">
      <text>
        <r>
          <rPr>
            <sz val="9"/>
            <color indexed="81"/>
            <rFont val="Segoe UI"/>
            <charset val="1"/>
          </rPr>
          <t>Insight iXlW00001C0000118R0080105531S00000234P01628LAocjBAQBF1NjaVRlZ2ljLmRhdGEuTW9sZWN1bGUBbwF/ARJTY2lUZWdpYy5Nb2xlY3VsZQAAAQFkAv5qAQAAAAIAAgEWARAAAAD8/AD8AAIAAAAAAADwvwAAAAAAACAAAAD8/AD8AAIAAAAAAADwvwACt9EA3gIJ+L8AAAAAIAAAAPz8APwAAgAAAAAAAPC/Aqk1zTtO0fQ/ApxVn6ut2Oe/AAAAABwAAAD8/AD8AAIAAAAAAADwvwKpNc07TtH0PwKcVZ+rrdjnPwAAAAAYAAAA/PwA/AACAAAAAAAA8L8CqTXNO07R9L8CnFWfq63Y5z8AAAAAGAAAAPz8APwAAgAAAAAAAPC/Aqk1zTtO0QRAAAAAAAAkAAAA/PwA/AACAAAAAAAA8L8CqTXNO07RBMAAAAAAACQAAAD8/AD8AAIAAAAAAADwvwKpNc07TtH0vwJDPujZrPoBQAAAAAAkAAAA/PwA/AACAAAAAAAA8L8CqTXNO07R9L8C001iEFg56L8AAAAAGAAAAPz8APwAAgAAAAAAAPC/ArWmeccpOg9AApxVn6ut2Oc/AAAAABgAAAD8/AD8AAIAAAAAAADwvwKpNc07TtEEQAK30QDeAgn4vwAAAAAYAAAA/PwA/AACAAAAAAAA8L8CvsEXJlPFFEAAAAAAABgAAAD8/AD8AAIAAAAAAADwvwK1pnnHKToPQAJDPujZrPoBQAAAAAAYAAAA/PwA/AACAAAAAAAA8L8CtaZ5xyk6D0ACQz7o2az6AcAAAAAAGAAAAPz8APwAAgAAAAAAAPC/Ar7BFyZTxRRAApxVn6ut2Pe/AAAAABwAAAD8/AD8AAIAAAAAAADwvwLFILByaNEUQAKpE9BE2PAHQAAAAAAYAAAA/PwA/AACAAAAAAAA8L8CqaROQBNhFkACETY8vVLWEUAAAAAAGAAAAPz8APwAAgAAAAAAAPC/AtejcD0KlxpAAqk1zTtO0QRAAAAAACAAAAD8/AD8AAIAAAAAAADwvwL2udqK/WUTQAJ8gy9MpgoXQAAAAAAYAAAA/PwA/AACAAAAAAAA8L8C2BLyQc8mHEACLbKd76dGEEAAAAAAGAAAAPz8APwAAgAAAAAAAPC/AiGwcmiRrSBAAsSxLm6jQRNAAAAAABgAAAD8/AD8AAIAAAAAAADwvwK8lpAPerYdQAJANV66SQwWQAAAAAABFwAEAWUIAAAAAAAAAAAACAFlCAAAAAAAAAAAAAwBZQQAAAAAAAAAAAAQAWUEAAAAAAAAAAAMFAFlBAAAAAAAAAAAEBgBZQQAAAAAAAAAABAcAWUEAAAAAAAAAAAQIAFlBAAAAAAAAAAAFCQBZQgMAAAAAAAAABQoAWUEAAAAAAAAAAAkLAFlBAAAAAAAAAAAJDABZQQAAAAAAAAAACg0AWUICAAAAAAAAAAsOAFlCAgAAAAAAAAAMDwBZQQAAAAAAAAAADwBEAFlBAAAAAAAAAAAPAERAWUEAAAAAAAAAAABEAESAWUIAAAAAAAAAAABEAETAWUEAAAAAAAAAAABEwEUAWUEAAAAAAAAAAABEwEVAWUEAAAAAAAAAAA0OAFlBAAAAAAAAAAAAREBEwFlBAAAAAAAAAAAAAAAAA==</t>
        </r>
      </text>
    </comment>
    <comment ref="A119" authorId="0" shapeId="0" xr:uid="{4C055B5E-D455-400E-8DFB-FCBF5B6C70D0}">
      <text>
        <r>
          <rPr>
            <sz val="9"/>
            <color indexed="81"/>
            <rFont val="Segoe UI"/>
            <charset val="1"/>
          </rPr>
          <t>Insight iXlW00001C0000119R0080105531S00000236P01252LAocjBAQBF1NjaVRlZ2ljLmRhdGEuTW9sZWN1bGUBbwF/ARJTY2lUZWdpYy5Nb2xlY3VsZQAAAQFkAv5qAQAAAAIAAgERAREAAAD8/AD8AAIAAAAAAADwvwAAAAAAABgAAAD8/AD8AAIAAAAAAADwvwJjEFg5tMj0vwICK4cW2c7nvwAAAAAYAAAA/PwA/AACAAAAAAAA8L8CKjqSy3/IBMAAAAAAACAAAAD8/AD8AAIAAAAAAADwvwIqOpLLf8gEwAKt+lxtxf73PwAAAAAcAAAA/PwA/AACAAAAAAAA8L8CW0I+6NksD8ACAiuHFtnO578AAAAAGAAAAPz8APwAAgAAAAAAAPC/AkYldQKayBTAAAAAAAAYAAAA/PwA/AACAAAAAAAA8L8CW0I+6NksD8ACF0hQ/BjzAcAAAAAAGAAAAPz8APwAAgAAAAAAAPC/AkYldQKayBTAAq36XG3F/vc/AAAAABgAAAD8/AD8AAIAAAAAAADwvwJfKcsQx/oZwAI6I0p7gy/ovwAAAAAYAAAA/PwA/AACAAAAAAAA8L8CKjqSy3/IBMACrfpcbcX+B8AAAAAAGAAAAPz8APwAAgAAAAAAAPC/Al8pyxDH+hnAAiUGgZVDCwJAAAAAABgAAAD8/AD8AAIAAAAAAADwvwJbQj7o2SwPwAIlBoGVQwsCQAAAAAAYAAAA/PwA/AACAAAAAAAA8L8CW0I+6NksH8AAAAAAABgAAAD8/AD8AAIAAAAAAADwvwJfKcsQx/oZwAIlBoGVQwsCwAAAAAAgAAAA/PwA/AACAAAAAAAA8L8CKjqSy3/IBMACHqfoSC7/EcAAAAAAGAAAAPz8APwAAgAAAAAAAPC/AltCPujZLB/AAq36XG3F/vc/AAAAABgAAAD8/AD8AAIAAAAAAADwvwJjEFg5tMj0vwJiodY07/gUwAAAAAABEQAEAWUEAAAAAAAAAAAECAFlBAAAAAAAAAAACAwBZQgAAAAAAAAAAAgQAWUEAAAAAAAAAAAQFAFlBAAAAAAAAAAAEBgBZQQAAAAAAAAAABQcAWUIDAAAAAAAAAAUIAFlBAAAAAAAAAAAGCQBZQQAAAAAAAAAABwoAWUEAAAAAAAAAAAcLAFlBAAAAAAAAAAAIDABZQgIAAAAAAAAACA0AWUEAAAAAAAAAAAkOAFlBAAAAAAAAAAAKDwBZQgIAAAAAAAAADgBEAFlBAAAAAAAAAAAMDwBZQQAAAAAAAAAAAAAAAA=</t>
        </r>
      </text>
    </comment>
    <comment ref="A120" authorId="0" shapeId="0" xr:uid="{3A275BF0-21C7-4401-BB11-31AA42CC58EF}">
      <text>
        <r>
          <rPr>
            <sz val="9"/>
            <color indexed="81"/>
            <rFont val="Segoe UI"/>
            <charset val="1"/>
          </rPr>
          <t>Insight iXlW00001C0000120R0080105531S00000238P01264LAocjBAQBF1NjaVRlZ2ljLmRhdGEuTW9sZWN1bGUBbwF/ARJTY2lUZWdpYy5Nb2xlY3VsZQAAAQFkAv5qAQAAAAIAAgERARAAAAD8/AD8AAIAAAAAAADwvwAAAAAAABgAAAD8/AD8AAIAAAAAAADwvwAC+g/pt68D+L8AAAAAGAAAAPz8APwAAgAAAAAAAPC/As3MzMzMzPS/Aoc41sVtNOg/AAAAABwAAAD8/AD8AAIAAAAAAADwvwLNzMzMzMz0PwIfFmpN8w4CwAAAAAAcAAAA/PwA/AACAAAAAAAA8L8CzczMzMzM9L8CHxZqTfMOAsAAAAAAGAAAAPz8APwAAgAAAAAAAPC/As3MzMzMzPQ/AhueXinLEA7AAAAAABgAAAD8/AD8AAIAAAAAAADwvwLNzMzMzMz0vwIbnl4pyxAOwAAAAAAcAAAA/PwA/AACAAAAAAAA8L8AAhi30QDeAhLAAAAAABwAAAD8/AD8AAIAAAAAAADwvwLNzMzMzMwEQAIYt9EA3gISwAAAAAAcAAAA/PwA/AACAAAAAAAA8L8CzczMzMzMBMACGLfRAN4CEsAAAAAAGAwAAPz8APwAAgAAAAAAAPC/AmwJ+aBnMw9AAhueXinLEA7AAAAAABgAAAD8/AD8AAIAAAAAAADwvwJsCfmgZzMPwAIbnl4pyxAOwAAAAAAYAAAA/PwA/AACAAAAAAAA8L8C6bevA+fMFEACGLfRAN4CEsAAAAAAGAAAAPz8APwAAgAAAAAAAPC/AmwJ+aBnMw9AAh8Wak3zDgLAAAAAABgAAAD8/AD8AAIAAAAAAADwvwLpt68D58wUwAIYt9EA3gISwAAAAAAYAAAA/PwA/AACAAAAAAAA8L8CHeviNhoAGkACG55eKcsQDsAAAAAAGAAAAPz8APwAAgAAAAAAAPC/Aum3rwPnzBRAAhb7y+7JAxjAAAAAAAERAAQBZQQAAAAAAAAAAAAIAWUEAAAAAAAAAAAEDAFlCAwAAAAAAAAABBABZQQAAAAAAAAAAAwUAWUEAAAAAAAAAAAQGAFlCAwAAAAAAAAAFBwBZQgIAAAAAAAAABQgAWUEAAAAAAAAAAAYJAFlBAAAAAAAAAAAICgBZQQAAAAAAAAAACQsAWUEAAAAAAAAAAAoMAFlBAAAAAAAAAAAKDQBZQQQAAAAAAAAACw4AWUEAAAAAAAAAAAwPAFlBAAAAAAAAAAAMAEQAWUEAAAAAAAAAAAYHAFlBAAAAAAAAAAAAAAAAA==</t>
        </r>
      </text>
    </comment>
    <comment ref="A121" authorId="0" shapeId="0" xr:uid="{C4B222EA-16B5-483F-9737-24BC0CC006B3}">
      <text>
        <r>
          <rPr>
            <sz val="9"/>
            <color indexed="81"/>
            <rFont val="Segoe UI"/>
            <charset val="1"/>
          </rPr>
          <t>Insight iXlW00001C0000121R0080105531S00000240P01264LAocjBAQBF1NjaVRlZ2ljLmRhdGEuTW9sZWN1bGUBbwF/ARJTY2lUZWdpYy5Nb2xlY3VsZQAAAQFkAv5qAQAAAAIAAgERAREAAAD8/AD8AAIAAAAAAADwvwAAAAAAABgAAAD8/AD8AAIAAAAAAADwvwJ6xyk6ksv0vwLChqdXyjLovwAAAAAYAAAA/PwA/AACAAAAAAAA8L8CQfFjzF3LBMAAAAAAACAAAAD8/AD8AAIAAAAAAADwvwJB8WPMXcsEwAI2XrpJDAL4PwAAAAAcAAAA/PwA/AACAAAAAAAA8L8C/tR46SYxD8ACi47k8h/S578AAAAAGAAAAPz8APwAAgAAAAAAAPC/AkHxY8xdyxTAAAAAAAAYDAAA/PwA/AACAAAAAAAA8L8C/tR46SYxD8ACvVKWIY71AcAAAAAAGAAAAPz8APwAAgAAAAAAAPC/AtSa5h2naBXAAhriWBe30fc/AAAAABgAAAD8/AD8AAIAAAAAAADwvwJmiGNd3EYawAJiMlUwKqnjvwAAAAAYAAAA/PwA/AACAAAAAAAA8L8CQfFjzF3LBMACNl66SQwCCMAAAAAAGAAAAPz8APwAAgAAAAAAAPC/AkHxY8xdyxTAAjZeukkMAgjAAAAAAAEQAAAA/PwA/AACAAAAAAAA8L8CTRWMSupEG8ACsi5uowG8/D8AAAAAGAAAAPz8APwAAgAAAAAAAPC/Arraiv1l9xDAAoxs5/up8QNAAAAAABgAAAD8/AD8AAIAAAAAAADwvwIlBoGVQ0sewALhnBGlvcHfPwAAAAAYAAAA/PwA/AACAAAAAAAA8L8CjNtoAG+BG8ACiUFg5dCiAMAAAAAAIAAAAPz8APwAAgAAAAAAAPC/AkHxY8xdywTAAsSxLm6jARLAAAAAABgAAAD8/AD8AAIAAAAAAADwvwJ6xyk6ksv0vwJ6WKg1zfsUwAAAAAABEQAEAWUEAAAAAAAAAAAECAFlBAAAAAAAAAAACAwBZQgAAAAAAAAAAAgQAWUEAAAAAAAAAAAQFAFlBAAAAAAAAAAAEBgBZQQAAAAAAAAAABQcAWUIDAAAAAAAAAAUIAFlBAAAAAAAAAAAGCQBZQQAAAAAAAAAABgoAWUEFAAAAAAAAAAcLAFlBAAAAAAAAAAAHDABZQQAAAAAAAAAACA0AWUICAAAAAAAAAAgOAFlBAAAAAAAAAAAJDwBZQQAAAAAAAAAADwBEAFlBAAAAAAAAAAALDQBZQQAAAAAAAAAAAAAAAA=</t>
        </r>
      </text>
    </comment>
    <comment ref="A122" authorId="0" shapeId="0" xr:uid="{247E8546-47F2-42EE-9DB1-B346DF05BAC0}">
      <text>
        <r>
          <rPr>
            <sz val="9"/>
            <color indexed="81"/>
            <rFont val="Segoe UI"/>
            <charset val="1"/>
          </rPr>
          <t>Insight iXlW00001C0000122R0080105531S00000242P01644LAocjBAQBF1NjaVRlZ2ljLmRhdGEuTW9sZWN1bGUBbwF/ARJTY2lUZWdpYy5Nb2xlY3VsZQAAAQFkAv5qAQAAAAIAAgEWJAAAAPz8APwAAgAAAAAAAPC/AAAAAAAAGAAAAPz8APwAAgAAAAAAAPC/AmrecYqO5KK/AphuEoPAyve/AAAAACQAAAD8/AD8AAIAAAAAAADwvwKASL99HTj2vwJB8WPMXcsBwAAAAAAkAAAA/PwA/AACAAAAAAAA8L8CgEi/fR049r8C0SLb+X5q5r8AAAAAGAAAAPz8APwAAgAAAAAAAPC/AiS5/If02/M/AkHxY8xdywHAAAAAABgAAAD8/AD8AAIAAAAAAADwvwJlqmBUUicEQAJTBaOSOgH3vwAAAAAYAAAA/PwA/AACAAAAAAAA8L8CMSqpE9BE8z8CjSjtDb6wDcAAAAAAHAAAAPz8APwAAgAAAAAAAPC/AkymCkYl9QNAAo/k8h/Sb68/AAAAABgAAAD8/AD8AAIAAAAAAADwvwJxzojS3mAOQALYEvJBz2YBwAAAAAAYAAAA/PwA/AACAAAAAAAA8L8CJLn8h/TbA0AC1udqK/bXEcAAAAAAHAAEAPz8APwAAgAAAAAAAPC/Aj55WKg1TRRAAoBIv30dOPa/AAAAABgAAAD8/AD8AAIAAAAAAADwvwL3Bl+YTBUOQALrc7UV+0sNwAAAAAAcAAQA/PwA/AACAAAAAAAA8L8CqvHSTWKQA0ACfIMvTKbKF8AAAAAAIAAAAPz8APwAAgAAAAAAAPC/AoGVQ4tsJxRAAmu8dJMYBMY/AAAAACAA/AD8/AD8AAIAAAAAAADwvwIooImw4WkZQAI1XrpJDAIBwAAAAAAcAAAA/PwA/AACAAAAAAAA8L8CgZVDi2wnFEACofgx5q6lEcAAAAAAIAAAAPz8APwAAgAAAAAAAPC/AsgpOpLLf/E/AgvXo3A9yhrAAAAAACAA/AD8/AD8AAIAAAAAAADwvwK2FfvL7skNQAIL16NwPcoawAAAAAAYAAAA/PwA/AACAAAAAAAA8L8Ca7x0kxhEGUACmpmZmZkZDcAAAAAAGAAAAPz8APwAAgAAAAAAAPC/AsSxLm6jARRAAiupE9BEmBfAAAAAABgAAAD8/AD8AAIAAAAAAADwvwJxzojS3mAeQAJ4CyQofowRwAAAAAAYAAAA/PwA/AACAAAAAAAA8L8C87BQa5o3GUACQfFjzF2LGsAAAAAAARYABAFlBAAAAAAAAAAABAgBZQQAAAAAAAAAAAQMAWUEAAAAAAAAAAAEEAFlBAAAAAAAAAAAEBQBZQgIAAAAAAAAABAYAWUEAAAAAAAAAAAUHAFlBAAAAAAAAAAAFCABZQQAAAAAAAAAABgkAWUIDAAAAAAAAAAgKAFlBAAAAAAAAAAAICwBZQgMAAAAAAAAACQwAWUEAAAAAAAAAAAoNAFlCAAAAAAAAAAAKDgBZQQAAAAAAAAAACw8AWUEAAAAAAAAAAAwARABZQgAAAAAAAAAADABEQFlBAAAAAAAAAAAPAESAWUEAAAAAAAAAAA8ARMBZQQAAAAAAAAAAAESARQBZQQAAAAAAAAAAAETARUBZQQAAAAAAAAAACQsAWUEAAAAAAAAAAAAAAAA</t>
        </r>
      </text>
    </comment>
    <comment ref="A123" authorId="0" shapeId="0" xr:uid="{11334800-E96E-48D2-A7D9-FCFD6F65B4B6}">
      <text>
        <r>
          <rPr>
            <sz val="9"/>
            <color indexed="81"/>
            <rFont val="Segoe UI"/>
            <charset val="1"/>
          </rPr>
          <t>Insight iXlW00001C0000123R0080105531S00000244P01344LAocjBAQBF1NjaVRlZ2ljLmRhdGEuTW9sZWN1bGUBbwF/ARJTY2lUZWdpYy5Nb2xlY3VsZQAAAQFkAv5qAQAAAAIAAgESIAAAAPz8APwAAgAAAAAAAPC/AAAAAAAAHAAEAPz8APwAAgAAAAAAAPC/Ah44Z0Rpb/S/AltCPujZrOi/AAAAACAA/AD8/AD8AAIAAAAAAADwvwKLjuTyH9IEwAAAAAAAGAAAAPz8APwAAgAAAAAAAPC/ArHh6ZWyDPS/AkVHcvkPaQLAAAAAABgAAAD8/AD8AAIAAAAAAADwvwI9m1Wfq62YPwLeAgmKH2MIwAAAAAAYAAAA/PwA/AACAAAAAAAA8L8C54wo7Q0+BMACFa5H4XqUCMAAAAAAIAAAAPz8APwAAgAAAAAAAPC/AoljXdxGA/U/AsbctYR8UALAAAAAABgAAAD8/AD8AAIAAAAAAADwvwI9m1Wfq62oPwLG3LWEfFASwAAAAAAYAAAA/PwA/AACAAAAAAAA8L8CseHplbIMBMACYjJVMCppEsAAAAAAGAAAAPz8APwAAgAAAAAAAPC/AkSLbOf7qfO/AhKlvcEXZhXAAAAAABgMAAD8/AD8AAIAAAAAAADwvwL45GGh1jT1PwI3GsBbIEEVwAAAAAAcAAQA/PwA/AACAAAAAAAA8L8CwH0dOGdEDsACbsX+sntyFcAAAAAAGAAAAPz8APwAAgAAAAAAAPC/AouO5PIf0gRAAiuHFtnONxLAAAAAABgAAAD8/AD8AAIAAAAAAADwvwKLjuTyH9L0PwJYyjLEsS4bwAAAAAAgAAAA/PwA/AACAAAAAAAA8L8CidLe4AsTDsACxSCwcmiRG8AAAAAAIAD8APz8APwAAgAAAAAAAPC/AgJNhA1PbxTAAmIyVTAqaRLAAAAAABgAAAD8/AD8AAIAAAAAAADwvwJhVFInoAkPQAKcxCCwcigVwAAAAAAYAAAA/PwA/AACAAAAAAAA8L8COPjCZKqgFEACkDF3LSEfEsAAAAAAARIABAFlCAAAAAAAAAAABAgBZQQAAAAAAAAAAAQMAWUEAAAAAAAAAAAMEAFlCAgAAAAAAAAADBQBZQQAAAAAAAAAABAYAWUEAAAAAAAAAAAQHAFlBAAAAAAAAAAAFCABZQgMAAAAAAAAABwkAWUICAAAAAAAAAAcKAFlBAAAAAAAAAAAICwBZQQAAAAAAAAAACgwAWUEAAAAAAAAAAAoNAFlBBQAAAAAAAAALDgBZQgAAAAAAAAAACw8AWUEAAAAAAAAAAAwARABZQQAAAAAAAAAAAEQAREBZQQAAAAAAAAAACAkAWUEAAAAAAAAAAAAAAAA</t>
        </r>
      </text>
    </comment>
    <comment ref="A124" authorId="0" shapeId="0" xr:uid="{415E9D54-8AF9-424A-AE4B-B09E8895B439}">
      <text>
        <r>
          <rPr>
            <sz val="9"/>
            <color indexed="81"/>
            <rFont val="Segoe UI"/>
            <charset val="1"/>
          </rPr>
          <t>Insight iXlW00001C0000124R0080105531S00000246P01284LAocjBAQBF1NjaVRlZ2ljLmRhdGEuTW9sZWN1bGUBbwF/ARJTY2lUZWdpYy5Nb2xlY3VsZQAAAQFkAv5qAQAAAAIAAgERIAAAAPz8APwAAgAAAAAAAPC/AAAAAAAAHAAEAPz8APwAAgAAAAAAAPC/An6MuWsJ+fS/Ai9uowG8Bei/AAAAACAA/AD8/AD8AAIAAAAAAADwvwKY3ZOHhVoFwAIy5q4l5IOuPwAAAAAYAAAA/PwA/AACAAAAAAAA8L8Cfoy5awn59L8C6iYxCKwcAsAAAAAAGAAAAPz8APwAAgAAAAAAAPC/ApXUCWgibKi/AqJFtvP91AfAAAAAABgAAAD8/AD8AAIAAAAAAADwvwJGtvP91PgEwAJ1ApoIGx4IwAAAAAAgAAAA/PwA/AACAAAAAAAA8L8CwhcmUwWj8z8CxEKtad5xAcAAAAAAGAAAAPz8APwAAgAAAAAAAPC/ApXUCWgibKi/AoBIv30d+BHAAAAAABgAAAD8/AD8AAIAAAAAAADwvwJGtvP91PgEwAIGEhQ/xhwSwAAAAAAYAAAA/PwA/AACAAAAAAAA8L8Csi5uowG89b8CRrbz/dT4FMAAAAAAGAwAAPz8APwAAgAAAAAAAPC/AjXvOEVHcvM/ArmNBvAWyBTAAAAAABwABAD8/AD8AAIAAAAAAADwvwKFfNCzWXUPwAJpAG+BBAUVwAAAAAAYAAAA/PwA/AACAAAAAAAA8L8ChxbZzvfTA0ACSgwCK4eWEcAAAAAAGAAAAPz8APwAAgAAAAAAAPC/AgFNhA1Pr/I/Ar+fGi/dpBrAAAAAACAAAAD8/AD8AAIAAAAAAADwvwKFfNCzWXUPwAI0ETY8vRIbwAAAAAAgAPwA/PwA/AACAAAAAAAA8L8C78nDQq0pFcACFmpN847TEcAAAAAAGAAAAPz8APwAAgAAAAAAAPC/AnS1FfvL7g1AAmdmZmZmZhTAAAAAAAERAAQBZQgAAAAAAAAAAAQIAWUEAAAAAAAAAAAEDAFlBAAAAAAAAAAADBABZQgIAAAAAAAAAAwUAWUEAAAAAAAAAAAQGAFlBAAAAAAAAAAAEBwBZQQAAAAAAAAAABQgAWUIDAAAAAAAAAAcJAFlCAgAAAAAAAAAHCgBZQQAAAAAAAAAACAsAWUEAAAAAAAAAAAoMAFlBAAAAAAAAAAAKDQBZQQUAAAAAAAAACw4AWUIAAAAAAAAAAAsPAFlBAAAAAAAAAAAMAEQAWUEAAAAAAAAAAAgJAFlBAAAAAAAAAAAAAAAAA==</t>
        </r>
      </text>
    </comment>
    <comment ref="A125" authorId="0" shapeId="0" xr:uid="{A75D135A-CF94-48EF-A8F6-C4C40223FFB1}">
      <text>
        <r>
          <rPr>
            <sz val="9"/>
            <color indexed="81"/>
            <rFont val="Segoe UI"/>
            <charset val="1"/>
          </rPr>
          <t>Insight iXlW00001C0000125R0080105531S00000248P01284LAocjBAQBF1NjaVRlZ2ljLmRhdGEuTW9sZWN1bGUBbwF/ARJTY2lUZWdpYy5Nb2xlY3VsZQAAAQFkAv5qAQAAAAIAAgERIAAAAPz8APwAAgAAAAAAAPC/AAAAAAAAHAAEAPz8APwAAgAAAAAAAPC/AgRWDi2ynfQ/AjGZKhiV1Oe/AAAAACAA/AD8/AD8AAIAAAAAAADwvwLMf0i/fZ0EQAIPnDOitDeoPwAAAAAYAAAA/PwA/AACAAAAAAAA8L8CXLG/7J489D8C5fIf0m/fAcAAAAAAGAAAAPz8APwAAgAAAAAAAPC/ArAD54wobQRAAhUdyeU/pAfAAAAAABgAAAD8/AD8AAIAAAAAAADwvwKDUUmdgCayvwIVHcnlP6QHwAAAAAAgAAAA/PwA/AACAAAAAAAA8L8CelioNc27DkACZ2ZmZmZmAcAAAAAAGAAAAPz8APwAAgAAAAAAAPC/Alyxv+yePARAAtc07zhFxxHAAAAAABgAAAD8/AD8AAIAAAAAAADwvwIPnDOitDe4vwLXNO84RccRwAAAAAAYAAAA/PwA/AACAAAAAAAA8L8CQxzr4jYa8z8C78nDQq2pFMAAAAAAGAAAAPz8APwAAgAAAAAAAPC/Al7cRgN4iw5AAu/Jw0KtqRTAAAAAABwABAD8/AD8AAIAAAAAAADwvwI1gLdAguL2vwLvycNCrakUwAAAAAAYAAAA/PwA/AACAAAAAAAA8L8CelioNc27DkACQs9m1eeqGsAAAAAAGAAAAPz8APwAAgAAAAAAAPC/ArAD54wobRRAAp/Nqs/VlhHAAAAAABgAAAD8/AD8AAIAAAAAAADwvwK+wRcmU4UUQAIOvjCZKpgXwAAAAAAgAAAA/PwA/AACAAAAAAAA8L8C3SQGgZVD978CO3DOiNKeGsAAAAAAIAD8APz8APwAAgAAAAAAAPC/Ao25awn5IAbAAphuEoPAihHAAAAAAAERAAQBZQgAAAAAAAAAAAQIAWUEAAAAAAAAAAAEDAFlBAAAAAAAAAAADBABZQgIAAAAAAAAAAwUAWUEAAAAAAAAAAAQGAFlBAAAAAAAAAAAEBwBZQQAAAAAAAAAABQgAWUIDAAAAAAAAAAcJAFlCAgAAAAAAAAAHCgBZQQAAAAAAAAAACAsAWUEAAAAAAAAAAAoMAFlBAAAAAAAAAAAKDQBZQQAAAAAAAAAACg4AWUEAAAAAAAAAAAsPAFlCAAAAAAAAAAALAEQAWUEAAAAAAAAAAAgJAFlBAAAAAAAAAAAAAAAAA==</t>
        </r>
      </text>
    </comment>
    <comment ref="A126" authorId="0" shapeId="0" xr:uid="{12CF86AD-33D4-4F9E-A9C7-945AA2715680}">
      <text>
        <r>
          <rPr>
            <sz val="9"/>
            <color indexed="81"/>
            <rFont val="Segoe UI"/>
            <charset val="1"/>
          </rPr>
          <t>Insight iXlW00001C0000126R0080105531S00000250P01344LAocjBAQBF1NjaVRlZ2ljLmRhdGEuTW9sZWN1bGUBbwF/ARJTY2lUZWdpYy5Nb2xlY3VsZQAAAQFkAv5qAQAAAAIAAgESIAAAAPz8APwAAgAAAAAAAPC/AAAAAAAAGAAAAPz8APwAAgAAAAAAAPC/AAKPU3Qkl//3vwAAAAAcAAAA/PwA/AACAAAAAAAA8L8C1LzjFB3J9L8CiPTb14HzAcAAAAAAGAAAAPz8APwAAgAAAAAAAPC/AtS84xQdyfQ/As+I0t7gCwLAAAAAABgAAAD8/AD8AAIAAAAAAADwvwIMk6mCUckEwAJz1xLyQc/3vwAAAAAYAAAA/PwA/AACAAAAAAAA8L8C1LzjFB3J9L8CUB4Wak3zDcAAAAAAGAAAAPz8APwAAgAAAAAAAPC/AgyTqYJRyQRAAqvP1VbsL/i/AAAAABgAAAD8/AD8AAIAAAAAAADwvwLUvOMUHcn0PwKWsgxxrAsOwAAAAAAYAAAA/PwA/AACAAAAAAAA8L8CdnEbDeAtD0AC3UYDeAskAsAAAAAAGAAAAPz8APwAAgAAAAAAAPC/AgyTqYJRyQRAAu0NvjCZKoi/AAAAABgAAAD8/AD8AAIAAAAAAADwvwIMk6mCUckEQAKyne+nxgsSwAAAAAAYAAAA/PwA/AACAAAAAAAA8L8AAqs+V1ux/xHAAAAAABgAAAD8/AD8AAIAAAAAAADwvwLwp8ZLN8kUQALHSzeJQWD4vwAAAAAYAAAA/PwA/AACAAAAAAAA8L8CdnEbDeAtD0ACyzLEsS5u5z8AAAAAGAAAAPz8APwAAgAAAAAAAPC/AgyTqYJRyQRAApayDHGsCxjAAAAAABgAAAD8/AD8AAIAAAAAAADwvwACj1N0JJf/F8AAAAAAGAAAAPz8APwAAgAAAAAAAPC/AvCnxks3yRRAAu0NvjCZKpi/AAAAABgAAAD8/AD8AAIAAAAAAADwvwLUvOMUHcn0PwITg8DKoQUbwAAAAAABEwAEAWUIAAAAAAAAAAAECAFlBAAAAAAAAAAABAwBZQQAAAAAAAAAAAgQAWUEAAAAAAAAAAAIFAFlBAAAAAAAAAAADBgBZQQAAAAAAAAAAAwcAWUEAAAAAAAAAAAYIAFlCAwAAAAAAAAAGCQBZQQAAAAAAAAAABwoAWUIDAAAAAAAAAAcLAFlBAAAAAAAAAAAIDABZQQAAAAAAAAAACQ0AWUICAAAAAAAAAAoOAFlBAAAAAAAAAAALDwBZQgIAAAAAAAAADABEAFlCAgAAAAAAAAAOAERAWUICAAAAAAAAAA0ARABZQQAAAAAAAAAADwBEQFlBAAAAAAAAAAAAAAAAA==</t>
        </r>
      </text>
    </comment>
    <comment ref="A127" authorId="0" shapeId="0" xr:uid="{EE3298AD-FCD5-4E87-BF9C-C3BCD766FEB2}">
      <text>
        <r>
          <rPr>
            <sz val="9"/>
            <color indexed="81"/>
            <rFont val="Segoe UI"/>
            <charset val="1"/>
          </rPr>
          <t>Insight iXlW00001C0000127R0080105531S00000252P01284LAocjBAQBF1NjaVRlZ2ljLmRhdGEuTW9sZWN1bGUBbwF/ARJTY2lUZWdpYy5Nb2xlY3VsZQAAAQFkAv5qAQAAAAIAAgERARAAAAD8/AD8AAIAAAAAAADwvwAAAAAAABgAAAD8/AD8AAIAAAAAAADwvwKNKO0NvjCpvwJ4LSEf9Gz3vwAAAAAYAAAA/PwA/AACAAAAAAAA8L8CnoAmwoan9b8CUdobfGEy6T8AAAAAHAAAAPz8APwAAgAAAAAAAPC/Al+YTBWMSvM/Aq7YX3ZPngHAAAAAABwAAAD8/AD8AAIAAAAAAADwvwLi6ZWyDHH2vwKu2F92T54BwAAAAAAYAAAA/PwA/AACAAAAAAAA8L8Cw/UoXI9CBcACat5xio7koj8AAAAAGAAAAPz8APwAAgAAAAAAAPC/Ahsv3SQGgfI/Ampv8IXJVA3AAAAAABgAAAD8/AD8AAIAAAAAAADwvwImUwWjkjr3vwJqb/CFyVQNwAAAAAAcAAAA/PwA/AACAAAAAAAA8L8CFoxK6gQ0yb8CGuJYF7eREcAAAAAAHAAAAPz8APwAAgAAAAAAAPC/AphuEoPASgNAAhriWBe3kRHAAAAAABwAAAD8/AD8AAIAAAAAAADwvwLi6ZWyDHEGwAIa4lgXt5ERwAAAAAAYAAAA/PwA/AACAAAAAAAA8L8Cam/whclUDUACn82qz9XWDMAAAAAAGAAAAPz8APwAAgAAAAAAAPC/AhiV1AloohDAAp/Nqs/V1gzAAAAAABgAAAD8/AD8AAIAAAAAAADwvwI6I0p7g68TQAI0ETY8vVIRwAAAAAAYAAAA/PwA/AACAAAAAAAA8L8Cx7q4jQbwDEACn82qz9VWAMAAAAAAGAAAAPz8APwAAgAAAAAAAPC/AtJvXwfO2RXAAl3+Q/rtaxHAAAAAABgAAAD8/AD8AAIAAAAAAADwvwIYldQJaKIQwAJpb/CFydQAwAAAAAABEQAEAWUEAAAAAAAAAAAACAFlBAAAAAAAAAAABAwBZQgMAAAAAAAAAAQQAWUEAAAAAAAAAAAIFAFlBAAAAAAAAAAADBgBZQQAAAAAAAAAABAcAWUIDAAAAAAAAAAYIAFlCAgAAAAAAAAAGCQBZQQAAAAAAAAAABwoAWUEAAAAAAAAAAAkLAFlBAAAAAAAAAAAKDABZQQAAAAAAAAAACw0AWUEAAAAAAAAAAAsOAFlBAAAAAAAAAAAMDwBZQQAAAAAAAAAADABEAFlBAAAAAAAAAAAHCABZQQAAAAAAAAAAAAAAAA=</t>
        </r>
      </text>
    </comment>
    <comment ref="A128" authorId="0" shapeId="0" xr:uid="{B82ABAAA-11CF-4856-8CCC-D9BF8EE41292}">
      <text>
        <r>
          <rPr>
            <sz val="9"/>
            <color indexed="81"/>
            <rFont val="Segoe UI"/>
            <charset val="1"/>
          </rPr>
          <t>Insight iXlW00001C0000128R0080105531S00000254P01212LAocjBAQBF1NjaVRlZ2ljLmRhdGEuTW9sZWN1bGUBbwF/ARJTY2lUZWdpYy5Nb2xlY3VsZQAAAQFkAv5qAQAAAAIAAgEQASMA/AD8/AD8AAIAAAAAAADwvwAAAAAAAAEjAPwA/PwA/AACAAAAAAAA8L8C7Q2+MJkqyL8CWDm0yHb+EMAAAAAAHAAEAPz8APwAAgAAAAAAAPC/AtBm1edqK/i/AhTQRNjwdA3AAAAAABgAAAD8/AD8AAIAAAAAAADwvwLVCWgibHgGwAJgdk8eFmoHwAAAAAAYAAAA/PwA/AACAAAAAAAA8L8C0GbV52or+L8Ct2J/2T25FMAAAAAAGAAAAPz8APwAAgAAAAAAAPC/AqvP1VbsL8u/AmB2Tx4WagfAAAAAABgAAAD8/AD8AAIAAAAAAADwvwLVCWgibHgGwAINAiuHFtn2vwAAAAAYAAAA/PwA/AACAAAAAAAA8L8CBcWPMXdtEMACFNBE2PB0DcAAAAAAGAAAAPz8APwAAgAAAAAAAPC/AtUJaCJseAbAApEPejarvhfAAAAAABgAAAD8/AD8AAIAAAAAAADwvwKrz9VW7C/LvwINAiuHFtn2vwAAAAAcAAQA/PwA/AACAAAAAAAA8L8C0GbV52or+L8CSp2AJsKG5b8AAAAAGAAAAPz8APwAAgAAAAAAAPC/AgXFjzF3bRDAAkqdgCbChuW/AAAAABgAAAD8/AD8AAIAAAAAAADwvwIFxY8xd20QwAK3Yn/ZPbkUwAAAAAAYAAAA/PwA/AACAAAAAAAA8L8C0GbV52or+L8CHjhnRGlv6j8AAAAAGAAAAPz8APwAAgAAAAAAAPC/AgXFjzF3bRDAAh44Z0Rpb+o/AAAAABgAAAD8/AD8AAIAAAAAAADwvwLVCWgibHgGwAJb07zjFB35PwAAAAABEAgMAWUIDAAAAAAAAAAIEAFlBAAAAAAAAAAACBQBZQQAAAAAAAAAAAwYAWUEAAAAAAAAAAAMHAFlBAAAAAAAAAAAECABZQgIAAAAAAAAABQkAWUEAAAAAAAAAAAYKAFlCAwAAAAAAAAAGCwBZQQAAAAAAAAAABwwAWUICAAAAAAAAAAoNAFlBAAAAAAAAAAALDgBZQgIAAAAAAAAADQ8AWUICAAAAAAAAAAgMAFlBAAAAAAAAAAAJCgBZQQAAAAAAAAAADg8AWUEAAAAAAAAAAAAAAAA</t>
        </r>
      </text>
    </comment>
    <comment ref="A129" authorId="0" shapeId="0" xr:uid="{43DE2502-05E9-4BB6-8C07-2B82842DF2E5}">
      <text>
        <r>
          <rPr>
            <sz val="9"/>
            <color indexed="81"/>
            <rFont val="Segoe UI"/>
            <charset val="1"/>
          </rPr>
          <t>Insight iXlW00001C0000129R0080105531S00000256P01816LAocjBAQBF1NjaVRlZ2ljLmRhdGEuTW9sZWN1bGUBbwF/ARJTY2lUZWdpYy5Nb2xlY3VsZQAAAQFkAv5qAQAAAAIAAgEZARAAAAD8/AD8AAIAAAAAAADwvwAAAAAAABgAAAD8/AD8AAIAAAAAAADwvwJjEFg5tMj0vwICK4cW2c7nPwAAAAAYAAAA/PwA/AACAAAAAAAA8L8CYxBYObTI9D8CAiuHFtnO5z8AAAAAIAAAAPz8APwAAgAAAAAAAPC/AmMQWDm0yPS/AlAeFmpN8wFAAAAAABgAAAD8/AD8AAIAAAAAAADwvwKb5h2n6MgEwAAAAAAAGAAAAPz8APwAAgAAAAAAAPC/ApvmHafoyATAAh6n6Egu//e/AAAAABgAAAD8/AD8AAIAAAAAAADwvwLM7snDQi0PwAICK4cW2c7nPwAAAAAcAAAA/PwA/AACAAAAAAAA8L8CzO7Jw0ItD8ACXtxGA3gLAsAAAAAAGAAAAPz8APwAAgAAAAAAAPC/AmMQWDm0yPS/Al7cRgN4CwLAAAAAABgAAAD8/AD8AAIAAAAAAADwvwJ/+zpwzsgUwAAAAAAAGAAAAPz8APwAAgAAAAAAAPC/AszuycNCLQ/AAlAeFmpN8wFAAAAAABgAAAD8/AD8AAIAAAAAAADwvwJ/+zpwzsgUwAIep+hILv/3vwAAAAAkAAAA/PwA/AACAAAAAAAA8L8AAh6n6Egu/wfAAAAAACQAAAD8/AD8AAIAAAAAAADwvwACHqfoSC7/978AAAAAJAAAAPz8APwAAgAAAAAAAPC/AmMQWDm0yPS/Au0vuycPCw7AAAAAABgAAAD8/AD8AAIAAAAAAADwvwK06nO1FfsZwAICK4cW2c7nPwAAAAAYAAAA/PwA/AACAAAAAAAA8L8C16NwPQrXE8AC+aBns+pzCkAAAAAAGAAAAPz8APwAAgAAAAAAAPC/ArTqc7UV+xnAAl7cRgN4CwLAAAAAAAEQAAAA/PwA/AACAAAAAAAA8L8CzO7Jw0ItH8AAAAAAACAAAAD8/AD8AAIAAAAAAADwvwK06nO1FfsZwAJQHhZqTfMBQAAAAAAYAAAA/PwA/AACAAAAAAAA8L8CgLdAguJHEsACKH6MuWsJE0AAAAAAGAAAAPz8APwAAgAAAAAAAPC/AmdmZmZmphnAAoSezarPVQdAAAAAACQAAAD8/AD8AAIAAAAAAADwvwLM7snDQi0fwAIep+hILv/3vwAAAAAkAAAA/PwA/AACAAAAAAAA8L8CtOpztRX7GcAC7S+7Jw8LDsAAAAAAGAAAAPz8APwAAgAAAAAAAPC/AgFvgQTFLyLAAgIrhxbZzuc/AAAAAAEZAAQBZQQAAAAAAAAAAAAIAWUEAAAAAAAAAAAEDAFlCAAAAAAAAAAABBABZQQAAAAAAAAAABAUAWUIDAAAAAAAAAAQGAFlBAAAAAAAAAAAFBwBZQQAAAAAAAAAABQgAWUEAAAAAAAAAAAYJAFlCAwAAAAAAAAAGCgBZQQAAAAAAAAAABwsAWUIDAAAAAAAAAAgMAFlBAAAAAAAAAAAIDQBZQQAAAAAAAAAACA4AWUEAAAAAAAAAAAkPAFlBAAAAAAAAAAAKAEQAWUEAAAAAAAAAAAsAREBZQQAAAAAAAAAADwBEgFlBAAAAAAAAAAAPAETAWUIAAAAAAAAAAABEAEUAWUEAAAAAAAAAAABEAEVAWUEAAAAAAAAAAABEQEWAWUEAAAAAAAAAAABEQEXAWUEAAAAAAAAAAABEgEYAWUEAAAAAAAAAAAkLAFlBAAAAAAAAAAAAAAAAA==</t>
        </r>
      </text>
    </comment>
    <comment ref="A130" authorId="0" shapeId="0" xr:uid="{6C1ADA88-D68D-4414-A792-4CBA96793A5E}">
      <text>
        <r>
          <rPr>
            <sz val="9"/>
            <color indexed="81"/>
            <rFont val="Segoe UI"/>
            <charset val="1"/>
          </rPr>
          <t>Insight iXlW00001C0000130R0080105531S00000258P01060LAocjBAQBF1NjaVRlZ2ljLmRhdGEuTW9sZWN1bGUBbwF/ARJTY2lUZWdpYy5Nb2xlY3VsZQAAAQFkAv5qAQAAAAIAAjgBEQAAAPz8APwAAgAAAAAAAPC/AAAAAAAAGAAAAPz8APwAAgAAAAAAAPC/AtS84xQdyfQ/AgIrhxbZzuc/AAAAABgAAAD8/AD8AAIAAAAAAADwvwLUvOMUHcn0PwKI9NvXgfMBQAAAAAAYAAAA/PwA/AACAAAAAAAA8L8C1LzjFB3JBEAC7Q2+MJkqiL8AAAAAAREAAAD8/AD8AAIAAAAAAADwvwACj1N0JJf/B0AAAAAAGAAAAPz8APwAAgAAAAAAAPC/AtS84xQdyQRAAoGVQ4ts5wdAAAAAABgAAAD8/AD8AAIAAAAAAADwvwI9m1Wfqy0PQALLMsSxLm7nPwAAAAAYAAAA/PwA/AACAAAAAAAA8L8CPZtVn6stD0ACejarPlfbAUAAAAAAHAAAAPz8APwAAgAAAAAAAPC/AvCnxks3yRRAAu0NvjCZKpi/AAAAABgAAAD8/AD8AAIAAAAAAADwvwIll/+QfvsZQAKTOgFNhA3nPwAAAAAgAAAA/PwA/AACAAAAAAAA8L8CJZf/kH77GUACbHh6pSzDAUAAAAAAHAAAAPz8APwAAgAAAAAAAPC/AlqGONbFLR9AAnKKjuTyH6K/AAAAABgAAAD8/AD8AAIAAAAAAADwvwLHuriNBjAiQAJbQj7o2azmPwAAAAAYAAAA/PwA/AACAAAAAAAA8L8CWoY41sUtH0AC48eYu5aQ+L8AAAAAOAAEAWUEAAAAAAAAAAAECAFlCAgAAAAAAAAABAwBZQQAAAAAAAAAAAgQAWUEAAAAAAAAAAAIFAFlBAAAAAAAAAAADBgBZQgMAAAAAAAAABQcAWUICAAAAAAAAAAYIAFlBAAAAAAAAAAAICQBZQQAAAAAAAAAACQoAWUIAAAAAAAAAAAkLAFlBAAAAAAAAAAALDABZQQAAAAAAAAAACw0AWUEAAAAAAAAAAAYHAFlBAAAAAAAAAAAAAAAAA==</t>
        </r>
      </text>
    </comment>
    <comment ref="A131" authorId="0" shapeId="0" xr:uid="{FFE548E4-436B-4BB5-B68B-9B77989B7A0C}">
      <text>
        <r>
          <rPr>
            <sz val="9"/>
            <color indexed="81"/>
            <rFont val="Segoe UI"/>
            <charset val="1"/>
          </rPr>
          <t>Insight iXlW00001C0000131R0080105531S00000260P01520LAocjBAQBF1NjaVRlZ2ljLmRhdGEuTW9sZWN1bGUBbwF/ARJTY2lUZWdpYy5Nb2xlY3VsZQAAAQFkAv5qAQAAAAIAAgEUIAAAAPz8APwAAgAAAAAAAPC/AAAAAAAAGAAAAPz8APwAAgAAAAAAAPC/Au0NvjCZKoi/AoG3QILix/e/AAAAABwAAAD8/AD8AAIAAAAAAADwvwL8qfHSTWL0PwK9dJMYBNYBwAAAAAAcAAAA/PwA/AACAAAAAAAA8L8CbJp3nKIj9b8CvXSTGATWAcAAAAAAGAAAAPz8APwAAgAAAAAAAPC/AgpoImx4egRAAmU730+Nl/e/AAAAABgAAAD8/AD8AAIAAAAAAADwvwJe3EYDeAsFwAJlO99PjZf3vwAAAAAYAAAA/PwA/AACAAAAAAAA8L8CJLn8h/TbDkACr7Zif9m9AcAAAAAAGAAAAPz8APwAAgAAAAAAAPC/Avyp8dJNYgRAAu0NvjCZKpg/AAAAABgAAAD8/AD8AAIAAAAAAADwvwKG61G4HoUPwAKvtmJ/2b0BwAAAAAAYAAAA/PwA/AACAAAAAAAA8L8CL90kBoEVC8ACp+hILv8hxb8AAAAAGAAAAPz8APwAAgAAAAAAAPC/AsOGp1fKMv6/AqfoSC7/IcW/AAAAABgAAAD8/AD8AAIAAAAAAADwvwIfhetRuJ4UQAJJv30dOGf3vwAAAAAYAAAA/PwA/AACAAAAAAAA8L8CFvvL7snDDkACmUwVjErq6D8AAAAAGAAAAPz8APwAAgAAAAAAAPC/Ald9rrZi/xTAAkm/fR04Z/e/AAAAABgAAAD8/AD8AAIAAAAAAADwvwKTqYJRSZ0PwAJvEoPAyqENwAAAAAAYAAAA/PwA/AACAAAAAAAA8L8CGCZTBaOSFEACcoqO5PIfoj8AAAAAGAAAAPz8APwAAgAAAAAAAPC/AusENBE2PBrAApM6AU2EjQHAAAAAABgAAAD8/AD8AAIAAAAAAADwvwJe3EYDeAsVwAK2FfvL7skRwAAAAAAYAAAA/PwA/AACAAAAAAAA8L8CpU5AE2HDGUAC0ETY8PRK6T8AAAAAGAAAAPz8APwAAgAAAAAAAPC/AvJjzF1LSBrAAoxs5/upcQ3AAAAAAAEVAAQBZQgAAAAAAAAAAAQIAWUEAAAAAAAAAAAEDAFlBAAAAAAAAAAACBABZQQAAAAAAAAAAAwUAWUEAAAAAAAAAAAQGAFlCAwAAAAAAAAAEBwBZQQAAAAAAAAAABQgAWUEAAAAAAAAAAAUJAFlBAAAAAAAAAAAFCgBZQQAAAAAAAAAABgsAWUEAAAAAAAAAAAcMAFlCAgAAAAAAAAAIDQBZQgMAAAAAAAAACA4AWUEAAAAAAAAAAAsPAFlCAwAAAAAAAAANAEQAWUEAAAAAAAAAAA4AREBZQgIAAAAAAAAADwBEgFlBAAAAAAAAAAAARABEwFlCAgAAAAAAAAAMDwBZQQAAAAAAAAAAAERARMBZQQAAAAAAAAAAAAAAAA=</t>
        </r>
      </text>
    </comment>
    <comment ref="A132" authorId="0" shapeId="0" xr:uid="{92ADD6C4-EF49-4461-9AFF-D373AC438B71}">
      <text>
        <r>
          <rPr>
            <sz val="9"/>
            <color indexed="81"/>
            <rFont val="Segoe UI"/>
            <charset val="1"/>
          </rPr>
          <t>Insight iXlW00001C0000132R0080105531S00000262P00876LAocjBAQBF1NjaVRlZ2ljLmRhdGEuTW9sZWN1bGUBbwF/ARJTY2lUZWdpYy5Nb2xlY3VsZQAAAQFkAv5qAQAAAAIAAjABEAAAAPz8APwAAgAAAAAAAPC/AAAAAAAAGAAAAPz8APwAAgAAAAAAAPC/AgIrhxbZzvS/AhPyQc9m1ec/AAAAABgAAAD8/AD8AAIAAAAAAADwvwICK4cW2c70PwIT8kHPZtXnPwAAAAAgAAAA/PwA/AACAAAAAAAA8L8CAiuHFtnO9L8C1QloImz4AUAAAAAAHAAAAPz8APwAAgAAAAAAAPC/AgIrhxbZzgTAAAAAAAAYAAAA/PwA/AACAAAAAAAA8L8CAiuHFtnOBEAAAAAAABgAAAD8/AD8AAIAAAAAAADwvwKDwMqhRTYPwAIT8kHPZtXnPwAAAAAYAAAA/PwA/AACAAAAAAAA8L8CAiuHFtnOBMACoBov3SQG+L8AAAAAGAAAAPz8APwAAgAAAAAAAPC/AgIrhxbZzhTAAAAAAAAYAAAA/PwA/AACAAAAAAAA8L8Cg8DKoUU2D8ACG55eKcsQAsAAAAAAGAAAAPz8APwAAgAAAAAAAPC/AsP1KFyPAhrAAhPyQc9m1ec/AAAAABgAAAD8/AD8AAIAAAAAAADwvwKDwMqhRTYPwAJrK/aX3RMOwAAAAAAsAAQBZQQAAAAAAAAAAAAIAWUEAAAAAAAAAAAEDAFlCAAAAAAAAAAABBABZQQAAAAAAAAAAAgUAWUEAAAAAAAAAAAQGAFlBAAAAAAAAAAAEBwBZQQAAAAAAAAAABggAWUEAAAAAAAAAAAcJAFlBAAAAAAAAAAAICgBZQQAAAAAAAAAACQsAWUEAAAAAAAAAAAAAAAA</t>
        </r>
      </text>
    </comment>
    <comment ref="A133" authorId="0" shapeId="0" xr:uid="{1CF5382A-85E3-4ECE-9254-3E08FDFD3D85}">
      <text>
        <r>
          <rPr>
            <sz val="9"/>
            <color indexed="81"/>
            <rFont val="Segoe UI"/>
            <charset val="1"/>
          </rPr>
          <t>Insight iXlW00001C0000133R0080105531S00000264P01284LAocjBAQBF1NjaVRlZ2ljLmRhdGEuTW9sZWN1bGUBbwF/ARJTY2lUZWdpYy5Nb2xlY3VsZQAAAQFkAv5qAQAAAAIAAgERAREAAAD8/AD8AAIAAAAAAADwvwAAAAAAABgAAAD8/AD8AAIAAAAAAADwvwLtDb4wmSqovwKrYFRSJ6D3vwAAAAAcAAAA/PwA/AACAAAAAAAA8L8CrkfhehSu9r8CM1UwKqmTAcAAAAAAHAAAAPz8APwAAgAAAAAAAPC/AvOwUGuad/M/AjNVMCqpkwHAAAAAABgAAAD8/AD8AAIAAAAAAADwvwIeOGdEaW/3vwKIhVrTvGMNwAAAAAAYAAAA/PwA/AACAAAAAAAA8L8CEhQ/xty18j8CiIVa07xjDcAAAAAAHAAAAPz8APwAAgAAAAAAAPC/At21hHzQs8m/Ajq0yHa+nxHAAAAAABwAAAD8/AD8AAIAAAAAAADwvwKuR+F6FK4GwAI6tMh2vp8RwAAAAAAcAAAA/PwA/AACAAAAAAAA8L8C87BQa5p3A0ACM1UwKqmTEcAAAAAAGAAAAPz8APwAAgAAAAAAAPC/AouO5PIf0hDAAvw6cM6I0gzAAAAAABgAAAD8/AD8AAIAAAAAAADwvwKkAbwFEpQNQAL8OnDOiNIMwAAAAAAYAAAA/PwA/AACAAAAAAAA8L8CFD/G3LUEFsACHjhnRGlvEcAAAAAAGAAAAPz8APwAAgAAAAAAAPC/AiqpE9BE2BNAAgkbnl4pSxHAAAAAACAAAAD8/AD8AAIAAAAAAADwvwIUP8bctQQWwAJWDi2ynW8XwAAAAAAgAAAA/PwA/AACAAAAAAAA8L8Cnu+nxks3G8AC/DpwzojSDMAAAAAAGAAAAPz8APwAAgAAAAAAAPC/AoZa07zjNCDAAh44Z0RpbxHAAAAAABgAAAD8/AD8AAIAAAAAAADwvwLLMsSxLs4iwAIK+aBns+oMwAAAAAABEQAEAWUEAAAAAAAAAAAECAFlCAwAAAAAAAAABAwBZQQAAAAAAAAAAAgQAWUEAAAAAAAAAAAMFAFlCAwAAAAAAAAAEBgBZQgIAAAAAAAAABAcAWUEAAAAAAAAAAAUIAFlBAAAAAAAAAAAHCQBZQQAAAAAAAAAACAoAWUEAAAAAAAAAAAkLAFlBAAAAAAAAAAAKDABZQQAAAAAAAAAACw0AWUIAAAAAAAAAAAsOAFlBAAAAAAAAAAAODwBZQQAAAAAAAAAADwBEAFlBAAAAAAAAAAAFBgBZQQAAAAAAAAAAAAAAAA=</t>
        </r>
      </text>
    </comment>
    <comment ref="A134" authorId="0" shapeId="0" xr:uid="{2B09339B-6C2A-4484-871E-4E6F5C8D25F4}">
      <text>
        <r>
          <rPr>
            <sz val="9"/>
            <color indexed="81"/>
            <rFont val="Segoe UI"/>
            <charset val="1"/>
          </rPr>
          <t>Insight iXlW00001C0000134R0080105531S00000266P00980LAocjBAQBF1NjaVRlZ2ljLmRhdGEuTW9sZWN1bGUBbwF/ARJTY2lUZWdpYy5Nb2xlY3VsZQAAAQFkAv5qAQAAAAIBAjQgAAAA/PwA/AACAAAAAAAA8L8AAAAAAAAYAAAA/PwA/AACAAAAAAAA8L8AAnrHKTqSy/c/AAAAACAAAAD8/AD8AAIAAAAAAADwvwJApN++Dpz0PwKV9gZfmMwBQAAAAAAYDAAA/PwA/AACAAAAAAAA8L8CQKTfvg6c9L8ClfYGX5jMAUAAAAAAGAwAAPz8APwAAgAAAAAAAPC/AkCk374OnPS/AlLaG3xhsg1AAAAAABgIAAD8/AD8AAIAAAAAAADwvwJApN++DpwEwALP91PjpZv3PwAAAAAYAAAA/PwA/AACAAAAAAAA8L8AApX2Bl+YzBFAAAAAABgIAAD8/AD8AAIAAAAAAADwvwJApN++DpwEwAJ/arx0k9gRQAAAAAAgAAAA/PwA/AACAAAAAAAA8L8ChlrTvOOUAMACM1UwKqmTBkAAAAAAGAAAAPz8APwAAgAAAAAAAPC/AmB2Tx4W6g7AApX2Bl+YzAFAAAAAACAAAAD8/AD8AAIAAAAAAADwvwACc2iR7Xy/F0AAAAAAIAAAAPz8APwAAgAAAAAAAPC/AkCk374OnPQ/AlLaG3xhsg1AAAAAABgAAAD8/AD8AAIAAAAAAADwvwJgdk8eFuoOwAJS2ht8YbINQAAAAAA4AAQBZQgAAAAAAAAAAAQIAWUEAAAAAAAAAAAMBAFlBBAAAAAAAAAADBABZQQAAAAAAAAAAAwUAWUEAAAAAAAAAAAQGAFlBBAAAAAAAAAAEBwBZQQAAAAAAAAAABQgAWUEEAAAAAAAAAAUJAFlBAAAAAAAAAAAGCgBZQgAAAAAAAAAABgsAWUEAAAAAAAAAAAcMAFlBAAAAAAAAAAAHCABZQQQAAAAAAAAACQwAWUEAAAAAAAAAAAAAAAA</t>
        </r>
      </text>
    </comment>
    <comment ref="A135" authorId="0" shapeId="0" xr:uid="{2B82D63A-A888-4475-975E-F141E652BAA8}">
      <text>
        <r>
          <rPr>
            <sz val="9"/>
            <color indexed="81"/>
            <rFont val="Segoe UI"/>
            <charset val="1"/>
          </rPr>
          <t>Insight iXlW00001C0000135R0080105531S00000268P02640LAocjBAQBF1NjaVRlZ2ljLmRhdGEuTW9sZWN1bGUBbwF/ARJTY2lUZWdpYy5Nb2xlY3VsZQAAAQFkAv5qAQAAAAIAAgEjAREAAAD8/AD8AAIAAAAAAADwvwAAAAAAABgAAAD8/AD8AAIAAAAAAADwvwJa9bnaiv30vwJiMlUwKqnnvwAAAAAYAAAA/PwA/AACAAAAAAAA8L8C5x2n6Egu9b8CSFD8GHPXAcAAAAAAGAAAAPz8APwAAgAAAAAAAPC/Alr1udqK/QTAAnRGlPYGX4g/AAAAACAAAAD8/AD8AAIAAAAAAADwvwL4wmSqYFSivwLhnBGlvcEHwAAAAAAYAAAA/PwA/AACAAAAAAAA8L8CoImw4ekVBcACYAfOGVHaB8AAAAAAGAAAAPz8APwAAgAAAAAAAPC/AgfwFkhQfA/AAmIyVTAqqee/AAAAABgAAAD8/AD8AAIAAAAAAADwvwKV1AloImyovwJIUPwYc9cRwAAAAAAYAAAA/PwA/AACAAAAAAAA8L8CTYQNT6+UD8ACArwFEhS/AcAAAAAAJAAAAPz8APwAAgAAAAAAAPC/Aj4K16Nw/RTAArdif9k9eZg/AAAAABgAAAD8/AD8AAIAAAAAAADwvwIqqRPQRNjzPwKV9gZfmMwUwAAAAAAYAAAA/PwA/AACAAAAAAAA8L8C/0P67evA9b8ClfYGX5jMFMAAAAAAHAAAAPz8APwAAgAAAAAAAPC/An0/NV66CRXAApoIG55eqQfAAAAAACAAAAD8/AD8AAIAAAAAAADwvwK1pnnHKToEQAIlBoGVQ8sRwAAAAAAcAAAA/PwA/AACAAAAAAAA8L8CnoAmwoan8z8CbHh6pSzDGsAAAAAAGAAAAPz8APwAAgAAAAAAAPC/Aoxs5/up8fW/Amx4eqUswxrAAAAAABgAAAD8/AD8AAIAAAAAAADwvwKgibDh6RUVwAIlBoGVQ8sRwAAAAAAYAAAA/PwA/AACAAAAAAAA8L8Ct9EA3gJJGsACPL1SliGOAcAAAAAAGAAAAPz8APwAAgAAAAAAAPC/Ap2iI7n8hw5AAnGsi9towBTAAAAAABgAAAD8/AD8AAIAAAAAAADwvwLHSzeJQWC1vwK5HoXrUbgdwAAAAAAgAAAA/PwA/AACAAAAAAAA8L8CWRe30QDeD8ACcayL22jAFMAAAAAAHAAAAPz8APwAAgAAAAAAAPC/AvcGX5hMVRrAApX2Bl+YzBTAAAAAACAAAAD8/AD8AAIAAAAAAADwvwL3Bl+YTFUawAL/Q/rt68DlvwAAAAAYAAAA/PwA/AACAAAAAAAA8L8CDk+vlGWIH8ACVHQkl/+QB8AAAAAAGAAAAPz8APwAAgAAAAAAAPC/AkLPZtXnahRAAgK8BRIUvxHAAAAAABgAAAD8/AD8AAIAAAAAAADwvwJNhA1Pr5QfwAIlBoGVQ8sRwAAAAAAYAAAA/PwA/AACAAAAAAAA8L8CGlHaG3xhGsACbHh6pSzDGsAAAAAAIAAAAPz8APwAAgAAAAAAAPC/Ah+F61G4XhRAAo51cRsNYAfAAAAAACAAAAD8/AD8AAIAAAAAAADwvwJSuB6F65EZQAJOYhBYObQUwAAAAAAYAAAA/PwA/AACAAAAAAAA8L8CRIts5/tpIsAClfYGX5jMFMAAAAAAGAAAAPz8APwAAgAAAAAAAPC/Aka28/3UuB5AAp88LNSaphHAAAAAACQAAAD8/AD8AAIAAAAAAADwvwLvycNCrQklwAIlBoGVQ8sRwAAAAAAkAAAA/PwA/AACAAAAAAAA8L8C5KWbxCBwIsACbHh6pSzDGsAAAAAAJAAAAPz8APwAAgAAAAAAAPC/Au/Jw0KtCSXAAv2H9NvXwRfAAAAAABgAAAD8/AD8AAIAAAAAAADwvwIdWmQ73+8hQALr4jYawJsUwAAAAAABJQAEAWUEAAAAAAAAAAAECAFlCAgAAAAAAAAABAwBZQQAAAAAAAAAAAgQAWUEAAAAAAAAAAAIFAFlBAAAAAAAAAAADBgBZQgMAAAAAAAAABAcAWUEAAAAAAAAAAAUIAFlCAwAAAAAAAAAGCQBZQQAAAAAAAAAABwoAWUICAAAAAAAAAAcLAFlBAAAAAAAAAAAIDABZQQAAAAAAAAAACg0AWUEAAAAAAAAAAAoOAFlBAAAAAAAAAAALDwBZQgIAAAAAAAAADABEAFlBAAAAAAAAAAAMAERAWUEAAAAAAAAAAA0ARIBZQQAAAAAAAAAADgBEwFlCAgAAAAAAAAAARABFAFlCAAAAAAAAAAAARABFQFlBAAAAAAAAAAAAREBFgFlCAAAAAAAAAAAAREBFwFlBAAAAAAAAAAAARIBGAFlBAAAAAAAAAAAARUBGQFlBAAAAAAAAAAAARUBGgFlBAAAAAAAAAAAARgBGwFlCAAAAAAAAAAAARgBHAFlBAAAAAAAAAAAARkBHQFlBAAAAAAAAAAAARwBHgFlBAAAAAAAAAAAAR0BHwFlBAAAAAAAAAAAAR0BIAFlBAAAAAAAAAAAAR0BIQFlBAAAAAAAAAAAAR4BIgFlBAAAAAAAAAAAGCABZQQAAAAAAAAAADwBEwFlBAAAAAAAAAAAARcBGQFlCAgAAAAAAAAAAAAAAA==</t>
        </r>
      </text>
    </comment>
    <comment ref="A136" authorId="0" shapeId="0" xr:uid="{D564F799-748A-4E74-B271-7259D153278C}">
      <text>
        <r>
          <rPr>
            <sz val="9"/>
            <color indexed="81"/>
            <rFont val="Segoe UI"/>
            <charset val="1"/>
          </rPr>
          <t>Insight iXlW00001C0000136R0080105531S00000270P01336LAocjBAQBF1NjaVRlZ2ljLmRhdGEuTW9sZWN1bGUBbwF/ARJTY2lUZWdpYy5Nb2xlY3VsZQAAAQFkAv5qAQAAAAIAAgESARAAAAD8/AD8AAIAAAAAAADwvwAAAAAAABgAAAD8/AD8AAIAAAAAAADwvwJ6xyk6ksv0vwKLjuTyH9LnPwAAAAAYAAAA/PwA/AACAAAAAAAA8L8CescpOpLL9D8Ci47k8h/S5z8AAAAAIAAAAPz8APwAAgAAAAAAAPC/AnrHKTqSy/S/Ar1SliGO9QFAAAAAABwAAAD8/AD8AAIAAAAAAADwvwJ6xyk6kssEwAAAAAAAGAAAAPz8APwAAgAAAAAAAPC/AnrHKTqSywRAAu0NvjCZKoi/AAAAABgMAAD8/AD8AAIAAAAAAADwvwI3qz5XWzEPwAKLjuTyH9LnPwAAAAAYAAAA/PwA/AACAAAAAAAA8L8CescpOpLLBMACNl66SQwC+L8AAAAAGAAAAPz8APwAAgAAAAAAAPC/AjerPldbMQ9AAlOWIY51cec/AAAAABgAAAD8/AD8AAIAAAAAAADwvwJ6xyk6kssEQALChqdXyjL4vwAAAAAYAAAA/PwA/AACAAAAAAAA8L8CescpOpLLFMAAAAAAABgAAAD8/AD8AAIAAAAAAADwvwI3qz5XWzEPwAK9UpYhjvUBQAAAAAAYAAAA/PwA/AACAAAAAAAA8L8CescpOpLL9L8CyxDHurgNAsAAAAAAGAAAAPz8APwAAgAAAAAAAPC/AnrHKTqSyxRAAu0NvjCZKpi/AAAAABgAAAD8/AD8AAIAAAAAAADwvwI3qz5XWzEPQALZzvdT4yUCwAAAAAAYAAAA/PwA/AACAAAAAAAA8L8CPE7RkVz+GcACi47k8h/S5z8AAAAAGAAAAPz8APwAAgAAAAAAAPC/AnrHKTqSyxTAAjZeukkMAvi/AAAAABgAAAD8/AD8AAIAAAAAAADwvwJ6xyk6kssUQALeAgmKH2P4vwAAAAABEgAEAWUEAAAAAAAAAAAACAFlBAAAAAAAAAAABAwBZQgAAAAAAAAAAAQQAWUEAAAAAAAAAAAIFAFlBAAAAAAAAAAAEBgBZQQAAAAAAAAAABAcAWUEAAAAAAAAAAAUIAFlCAwAAAAAAAAAFCQBZQQAAAAAAAAAABgoAWUEAAAAAAAAAAAYLAFlBBQAAAAAAAAAHDABZQQAAAAAAAAAACA0AWUEAAAAAAAAAAAkOAFlCAgAAAAAAAAAKDwBZQQAAAAAAAAAACgBEAFlBAAAAAAAAAAANAERAWUICAAAAAAAAAA4AREBZQQAAAAAAAAAAAAAAAA=</t>
        </r>
      </text>
    </comment>
    <comment ref="A137" authorId="0" shapeId="0" xr:uid="{8091FCE2-4BE8-47E6-914A-E25A80B3C801}">
      <text>
        <r>
          <rPr>
            <sz val="9"/>
            <color indexed="81"/>
            <rFont val="Segoe UI"/>
            <charset val="1"/>
          </rPr>
          <t>Insight iXlW00001C0000137R0080105531S00000272P01700LAocjBAQBF1NjaVRlZ2ljLmRhdGEuTW9sZWN1bGUBbwF/ARJTY2lUZWdpYy5Nb2xlY3VsZQAAAQFkAv5qAQAAAAIAAgEXJAAAAPz8APwAAgAAAAAAAPC/AAAAAAAAGAAAAPz8APwAAgAAAAAAAPC/AALFsS5uowH4vwAAAAAkAAAA/PwA/AACAAAAAAAA8L8CCRueXinL9L8CTKYKRiX1AcAAAAAAJAAAAPz8APwAAgAAAAAAAPC/Agkbnl4py/S/AuAtkKD4Mei/AAAAABgAAAD8/AD8AAIAAAAAAADwvwIJG55eKcv0PwJMpgpGJfUBwAAAAAAYAAAA/PwA/AACAAAAAAAA8L8C0ETY8PTKBEACxbEubqMB+L8AAAAAGAAAAPz8APwAAgAAAAAAAPC/Agkbnl4py/Q/Ai//If329Q3AAAAAABgAAAD8/AD8AAIAAAAAAADwvwJVUiegiTAPQAJMpgpGJfUBwAAAAAAYAAAA/PwA/AACAAAAAAAA8L8C0ETY8PTKBEACUwWjkjoBEsAAAAAAHAAEAPz8APwAAgAAAAAAAPC/AtBE2PD0yhRAAsWxLm6jAfi/AAAAABgAAAD8/AD8AAIAAAAAAADwvwJVUiegiTAPQAIv/yH99vUNwAAAAAAcAAQA/PwA/AACAAAAAAAA8L8C0ETY8PTKBEACxbEubqMBGMAAAAAAIAAAAPz8APwAAgAAAAAAAPC/AtBE2PD0yhRAAAAAAAAgAPwA/PwA/AACAAAAAAAA8L8Ck8t/SL/9GUACTKYKRiX1AcAAAAAAHAAAAPz8APwAAgAAAAAAAPC/AtBE2PD0yhRAAlMFo5I6ARLAAAAAACAAAAD8/AD8AAIAAAAAAADwvwIJG55eKcv0PwKBt0CC4gcbwAAAAAAgAPwA/PwA/AACAAAAAAAA8L8CVVInoIkwD0ACgbdAguIHG8AAAAAAGAAAAPz8APwAAgAAAAAAAPC/AtBE2PD0yhRAAsWxLm6jARjAAAAAABgAAAD8/AD8AAIAAAAAAADwvwKTy39Iv/0ZQAI9vVKWIQ4OwAAAAAAYAAAA/PwA/AACAAAAAAAA8L8Ck8t/SL/9GUACelioNc37GsAAAAAAGAAAAPz8APwAAgAAAAAAAPC/AlVSJ6CJMB9AAlpkO99PDRLAAAAAABgAAAD8/AD8AAIAAAAAAADwvwKTy39Iv/0ZQAJ1ApoIG34gwAAAAAAYAAAA/PwA/AACAAAAAAAA8L8CVVInoIkwH0ACxbEubqMBGMAAAAAAARcABAFlBAAAAAAAAAAABAgBZQQAAAAAAAAAAAQMAWUEAAAAAAAAAAAEEAFlBAAAAAAAAAAAEBQBZQgMAAAAAAAAABAYAWUEAAAAAAAAAAAUHAFlBAAAAAAAAAAAGCABZQgMAAAAAAAAABwkAWUEAAAAAAAAAAAcKAFlCAwAAAAAAAAAICwBZQQAAAAAAAAAACQwAWUIAAAAAAAAAAAkNAFlBAAAAAAAAAAAKDgBZQQAAAAAAAAAACw8AWUIAAAAAAAAAAAsARABZQQAAAAAAAAAADgBEQFlBAAAAAAAAAAAOAESAWUEAAAAAAAAAAABEQETAWUEAAAAAAAAAAABEgEUAWUEAAAAAAAAAAABEwEVAWUIAAAAAAAAAAABEwEWAWUEAAAAAAAAAAAgKAFlBAAAAAAAAAAAAAAAAA==</t>
        </r>
      </text>
    </comment>
    <comment ref="A138" authorId="0" shapeId="0" xr:uid="{2F38E391-5ABC-49D5-98AF-DCEA22C71869}">
      <text>
        <r>
          <rPr>
            <sz val="9"/>
            <color indexed="81"/>
            <rFont val="Segoe UI"/>
            <charset val="1"/>
          </rPr>
          <t>Insight iXlW00001C0000138R0080105531S00000274P02044LAocjBAQBF1NjaVRlZ2ljLmRhdGEuTW9sZWN1bGUBbwF/ARJTY2lUZWdpYy5Nb2xlY3VsZQAAAQFkAv5qAQAAAAIAAgEcARAAAAD8/AD8AAIAAAAAAADwvwAAAAAAACAAAAD8/AD8AAIAAAAAAADwvwI+eVioNc3nPwKAt0CC4sf0PwAAAAAgAAAA/PwA/AACAAAAAAAA8L8CgLdAguLH9L8CPnlYqDXN5z8AAAAAHAAAAPz8APwAAgAAAAAAAPC/AoC3QILix/Q/AnZxGw3gLei/AAAAABgAAAD8/AD8AAIAAAAAAADwvwJ2cRsN4C3ovwKAt0CC4sf0vwAAAAAYAAAA/PwA/AACAAAAAAAA8L8CSOF6FK7HBEAAAAAAABgAAAD8/AD8AAIAAAAAAADwvwJDrWnecQoCwAKAt0CC4sf0vwAAAAAYAAAA/PwA/AACAAAAAAAA8L8AAkjhehSuxwTAAAAAACAAAAD8/AD8AAIAAAAAAADwvwJI4XoUrscEQALLoUW28/33PwAAAAAcAAAA/PwA/AACAAAAAAAA8L8CCD2bVZ8rD0ACdnEbDeAt6L8AAAAAGAAAAPz8APwAAgAAAAAAAPC/AsuhRbbz/QfAAAAAAAAYAAAA/PwA/AACAAAAAAAA8L8Cy6FFtvP9B8ACSOF6FK7HBMAAAAAAGAAAAPz8APwAAgAAAAAAAPC/AnZxGw3gLei/Agg9m1WfKw/AAAAAABgAAAD8/AD8AAIAAAAAAADwvwJkzF1LyMcUQAAAAAAAIAAAAPz8APwAAgAAAAAAAPC/AkOtad5xCgLAAoC3QILix/Q/AAAAACAAAAD8/AD8AAIAAAAAAADwvwI8TtGRXP4RwAAAAAAAGAAAAPz8APwAAgAAAAAAAPC/AkOtad5xCgLAAgg9m1WfKw/AAAAAABwAAAD8/AD8AAIAAAAAAADwvwJkzF1LyMcUQALLoUW28/33PwAAAAAcAAAA/PwA/AACAAAAAAAA8L8CKA8Ltab5GUACdnEbDeAt6L8AAAAAGAAAAPz8APwAAgAAAAAAAPC/AoenV8oyBBXAAoC3QILix/Q/AAAAABgAAAD8/AD8AAIAAAAAAADwvwIoDwu1pvkZQAI17zhFR/IBQAAAAAAYAAAA/PwA/AACAAAAAAAA8L8CCD2bVZ8rH0AAAAAAACAAAAD8/AD8AAIAAAAAAADwvwIoDwu1pvkZQAIbwFsgQfENQAAAAAAcAAAA/PwA/AACAAAAAAAA8L8CCD2bVZ8rH0ACy6FFtvP99z8AAAAAHAAAAPz8APwAAgAAAAAAAPC/AnS1FfvLLiJAAnZxGw3gLei/AAAAABgAAAD8/AD8AAIAAAAAAADwvwJkzF1LyMcUQAI8TtGRXP4RQAAAAAAYAAAA/PwA/AACAAAAAAAA8L8CdLUV+8suIkACQ61p3nEKAsAAAAAAGAAAAPz8APwAAgAAAAAAAPC/AmTMXUvIxxRAAq+2Yn/Z/RdAAAAAAAEdAAQBZQgAAAAAAAAAAAAIAWUIAAAAAAAAAAAADAFlBAAAAAAAAAAAABABZQQAAAAAAAAAAAwUAWUEAAAAAAAAAAAQGAFlCAgAAAAAAAAAEBwBZQQAAAAAAAAAABQgAWUIAAAAAAAAAAAUJAFlBAAAAAAAAAAAGCgBZQQAAAAAAAAAABgsAWUEAAAAAAAAAAAcMAFlCAgAAAAAAAAAJDQBZQQAAAAAAAAAACg4AWUIAAAAAAAAAAAoPAFlBAAAAAAAAAAALAEQAWUICAAAAAAAAAA0AREBZQgMAAAAAAAAADQBEgFlBAAAAAAAAAAAPAETAWUEAAAAAAAAAAABEQEUAWUEAAAAAAAAAAABEgEVAWUIDAAAAAAAAAABFAEWAWUEAAAAAAAAAAABFAEXAWUICAAAAAAAAAABFQEYAWUEAAAAAAAAAAABFgEZAWUEAAAAAAAAAAABGAEaAWUEAAAAAAAAAAABGQEbAWUEAAAAAAAAAAAwARABZQQAAAAAAAAAAAEVARcBZQQAAAAAAAAAAAAAAAA=</t>
        </r>
      </text>
    </comment>
    <comment ref="A139" authorId="0" shapeId="0" xr:uid="{2B6851FC-6FBF-4B5C-A8F8-B72FEB9DCB1E}">
      <text>
        <r>
          <rPr>
            <sz val="9"/>
            <color indexed="81"/>
            <rFont val="Segoe UI"/>
            <charset val="1"/>
          </rPr>
          <t>Insight iXlW00001C0000139R0080105531S00000276P01212LAocjBAQBF1NjaVRlZ2ljLmRhdGEuTW9sZWN1bGUBbwF/ARJTY2lUZWdpYy5Nb2xlY3VsZQAAAQFkAv5qAQAAAAIAAgEQARAAAAD8/AD8AAIAAAAAAADwvwAAAAAAACAAAAD8/AD8AAIAAAAAAADwvwIH8BZIUPz0vwISFD/G3LXoPwAAAAAgAAAA/PwA/AACAAAAAAAA8L8CuycPC7Wm8T8C1zTvOEVH8D8AAAAAGAAAAPz8APwAAgAAAAAAAPC/AoBIv30dOOM/AmkAb4EExfW/AAAAABgAAAD8/AD8AAIAAAAAAADwvwLtL7snDwvyvwJLWYY41sXvvwAAAAABEAAAAPz8APwAAgAAAAAAAPC/Au84RUdyeQBAAuqVsgxxrPq/AAAAABwAAAD8/AD8AAIAAAAAAADwvwJJLv8h/fbFvwIf9GxWfS4FwAAAAAAYAAAA/PwA/AACAAAAAAAA8L8C+g/pt6+DA8ACXLG/7J48zL8AAAAAGAAAAPz8APwAAgAAAAAAAPC/ArsnDwu1pgFAAt21hHzQMwnAAAAAABwAAAD8/AD8AAIAAAAAAADwvwK5jQbwFkjqPwL9h/Tb1wEOwAAAAAAcAAAA/PwA/AACAAAAAAAA8L8Cfq62Yn/ZC0ACyXa+nxovD8AAAAAAGAAAAPz8APwAAgAAAAAAAPC/AqAaL90kBhNAAozbaABvAQnAAAAAABgAAAD8/AD8AAIAAAAAAADwvwJ+rrZif9kLQAJR/Bhz15IVwAAAAAAgAAAA/PwA/AACAAAAAAAA8L8CHA3gLZDgEkACtch2vp8a+b8AAAAAHAAAAPz8APwAAgAAAAAAAPC/Ah3J5T+kHxhAArFyaJHt/A7AAAAAABgAAAD8/AD8AAIAAAAAAADwvwJ/jLlrCTkdQAJz1xLyQc8IwAAAAAABEAAEAWUIAAAAAAAAAAAACAFlCAAAAAAAAAAAAAwBZQQAAAAAAAAAAAAQAWUEAAAAAAAAAAAMFAFlBAAAAAAAAAAADBgBZQgMAAAAAAAAABAcAWUEAAAAAAAAAAAUIAFlBAAAAAAAAAAAGCQBZQQAAAAAAAAAACAoAWUEAAAAAAAAAAAoLAFlBAAAAAAAAAAAKDABZQQAAAAAAAAAACw0AWUIAAAAAAAAAAAsOAFlBAAAAAAAAAAAODwBZQQAAAAAAAAAACAkAWUICAAAAAAAAAAAAAAA</t>
        </r>
      </text>
    </comment>
    <comment ref="A140" authorId="0" shapeId="0" xr:uid="{B09DEBA5-99D8-496A-95C0-5201A08E893D}">
      <text>
        <r>
          <rPr>
            <sz val="9"/>
            <color indexed="81"/>
            <rFont val="Segoe UI"/>
            <charset val="1"/>
          </rPr>
          <t>Insight iXlW00001C0000140R0080105531S00000278P01140LAocjBAQBF1NjaVRlZ2ljLmRhdGEuTW9sZWN1bGUBbwF/ARJTY2lUZWdpYy5Nb2xlY3VsZQAAAQFkAv5qAQAAAAIAAjwBEAAAAPz8APwAAgAAAAAAAPC/AAAAAAAAGAAAAPz8APwAAgAAAAAAAPC/Ar3jFB3J5fS/AnBfB84ZUeg/AAAAABgAAAD8/AD8AAIAAAAAAADwvwIxKqkT0ESYvwIhQfFjzF33vwAAAAAcAAAA/PwA/AACAAAAAAAA8L8CveMUHcnlBMACtaZ5xyk6oj8AAAAAHAAAAPz8APwAAgAAAAAAAPC/AmaIY13cRvW/AobJVMGoJAJAAAAAABgAAAD8/AD8AAIAAAAAAADwvwKHFtnO91P0PwKlTkATYcMBwAAAAAAcAAAA/PwA/AACAAAAAAAA8L8CnFWfq61YD8AC2/l+arx06T8AAAAAHAAAAPz8APwAAgAAAAAAAPC/ArWmeccpOrK/AmKh1jTvOAhAAAAAABgAAAD8/AD8AAIAAAAAAADwvwIRNjy9UhYFwAJiodY07zgIQAAAAAAYAAAA/PwA/AACAAAAAAAA8L8C8KfGSzeJD8ACIbByaJFtAkAAAAAAIAAAAPz8APwAAgAAAAAAAPC/Ap5eKcsQRwXAAmrecYqOJBJAAAAAABgAAAD8/AD8AAIAAAAAAADwvwLnjCjtDf4UwAL9h/Tb14EIQAAAAAAYAAAA/PwA/AACAAAAAAAA8L8C18VtNIA3GsACvJaQD3q2AkAAAAAAGAAAAPz8APwAAgAAAAAAAPC/Ai4hH/RsFhXAArfRAN4CSRJAAAAAABgAAAD8/AD8AAIAAAAAAADwvwLXxW00gDcawALZX3ZPHpYOQAAAAAA8AAQBZQQAAAAAAAAAAAAIAWUEAAAAAAAAAAAEDAFlCAwAAAAAAAAABBABZQQAAAAAAAAAAAgUAWUEAAAAAAAAAAAMGAFlBAAAAAAAAAAAEBwBZQQAAAAAAAAAABAgAWUEAAAAAAAAAAAYJAFlCAwAAAAAAAAAICgBZQgAAAAAAAAAACQsAWUEAAAAAAAAAAAsMAFlBAAAAAAAAAAALDQBZQQAAAAAAAAAACw4AWUEAAAAAAAAAAAgJAFlBAAAAAAAAAAAAAAAAA==</t>
        </r>
      </text>
    </comment>
    <comment ref="A141" authorId="0" shapeId="0" xr:uid="{DF15C740-B7B4-4837-B8D7-0E4C8B254928}">
      <text>
        <r>
          <rPr>
            <sz val="9"/>
            <color indexed="81"/>
            <rFont val="Segoe UI"/>
            <charset val="1"/>
          </rPr>
          <t>Insight iXlW00001C0000141R0080105531S00000280P01436LAocjBAQBF1NjaVRlZ2ljLmRhdGEuTW9sZWN1bGUBbwF/ARJTY2lUZWdpYy5Nb2xlY3VsZQAAAQFkAv5qAQAAAAIAAgETARAAAAD8/AD8AAIAAAAAAADwvwAAAAAAACAAAAD8/AD8AAIAAAAAAADwvwICK4cW2c7nPwLUvOMUHcn0PwAAAAAgAAAA/PwA/AACAAAAAAAA8L8C1LzjFB3J9L8COiNKe4Mv6D8AAAAAIAAAAPz8APwAAgAAAAAAAPC/AtS84xQdyfQ/AgIrhxbZzue/AAAAABgAAAD8/AD8AAIAAAAAAADwvwI6I0p7gy/ovwLUvOMUHcn0vwAAAAAYAAAA/PwA/AACAAAAAAAA8L8Cm+Ydp+jIBEAAAAAAABgAAAD8/AD8AAIAAAAAAADwvwIFxY8xdy0PQAICK4cW2c7nvwAAAAAYAAAA/PwA/AACAAAAAAAA8L8Cm+Ydp+jIBEACHqfoSC7/9z8AAAAAGAAAAPz8APwAAgAAAAAAAPC/ApvmHafoyBRAAu0NvjCZKog/AAAAABgAAAD8/AD8AAIAAAAAAADwvwIFxY8xdy0PQAJe3EYDeAsCQAAAAAAYAAAA/PwA/AACAAAAAAAA8L8Cm+Ydp+jIFEACOiNKe4Mv+D8AAAAAGAAAAPz8APwAAgAAAAAAAPC/AjnWxW00gBpAApt3nKIjudy/AAAAACAAAAD8/AD8AAIAAAAAAADwvwI51sVtNIAaQAI9vVKWIY7/PwAAAAAYCAAA/PwA/AACAAAAAAAA8L8CCRueXikLHkACchsN4C2Q6D8AAAAAGAAAAPz8APwAAgAAAAAAAPC/AkHxY8xdCxhAAmHD0ytlGf2/AAAAABgAAAD8/AD8AAIAAAAAAADwvwJuxf6ye7IfQAKEL0ymCkbzvwAAAAAgAAAA/PwA/AACAAAAAAAA8L8C9pfdk4cFIkACchsN4C2Q6D8AAAAAGAAAAPz8APwAAgAAAAAAAPC/AqcKRiV1giNAAkYldQKaiABAAAAAABgAAAD8/AD8AAIAAAAAAADwvwKKH2PuWoImQAJGJXUCmogAQAAAAAABFAAEAWUIAAAAAAAAAAAACAFlCAAAAAAAAAAAAAwBZQQAAAAAAAAAAAAQAWUEAAAAAAAAAAAMFAFlBAAAAAAAAAAAFBgBZQgMAAAAAAAAABQcAWUEAAAAAAAAAAAYIAFlBAAAAAAAAAAAHCQBZQgIAAAAAAAAACAoAWUIDAAAAAAAAAAgLAFlBAAAAAAAAAAAKDABZQQAAAAAAAAAACw0AWUEAAAAAAAAAAAsOAFlBAAAAAAAAAAALDwBZQQAAAAAAAAAADQBEAFlBBQAAAAAAAAAARABEQFlBAAAAAAAAAAAAREBEgFlBAAAAAAAAAAAJCgBZQQAAAAAAAAAADA0AWUEAAAAAAAAAAAAAAAA</t>
        </r>
      </text>
    </comment>
    <comment ref="A142" authorId="0" shapeId="0" xr:uid="{821EFB7C-ABA6-4FA4-8E03-8494FA881655}">
      <text>
        <r>
          <rPr>
            <sz val="9"/>
            <color indexed="81"/>
            <rFont val="Segoe UI"/>
            <charset val="1"/>
          </rPr>
          <t>Insight iXlW00001C0000142R0080105531S00000282P01980LAocjBAQBF1NjaVRlZ2ljLmRhdGEuTW9sZWN1bGUBbwF/ARJTY2lUZWdpYy5Nb2xlY3VsZQAAAQFkAv5qAQAAAAIAAgEbARAAAAD8/AD8AAIAAAAAAADwvwAAAAAAACAAAAD8/AD8AAIAAAAAAADwvwK5/If029fnPwLH3LWEfND0PwAAAAAgAAAA/PwA/AACAAAAAAAA8L8Cx9y1hHzQ9L8CufyH9NvX5z8AAAAAIAAAAPz8APwAAgAAAAAAAPC/Arn8h/Tb1+e/AsfctYR80PS/AAAAABwAAAD8/AD8AAIAAAAAAADwvwLH3LWEfND0PwK5/If029fnvwAAAAAYAAAA/PwA/AACAAAAAAAA8L8CmbuWkA/6AcACx9y1hHzQ9L8AAAAAGAAAAPz8APwAAgAAAAAAAPC/Av+ye/Kw0ARAAAAAAAAYAAAA/PwA/AACAAAAAAAA8L8Cx7q4jQbwB8AC/7J78rDQBMAAAAAAGAAAAPz8APwAAgAAAAAAAPC/Ase6uI0G8AfAAAAAAAAgAAAA/PwA/AACAAAAAAAA8L8C/7J78rDQBEAC1XjpJjEI+D8AAAAAHAAAAPz8APwAAgAAAAAAAPC/AmKh1jTvOA9AArn8h/Tb1+e/AAAAACAAAAD8/AD8AAIAAAAAAADwvwKZu5aQD/oBwAJiodY07zgPwAAAAAAYAAAA/PwA/AACAAAAAAAA8L8CmbuWkA/6EcAC/7J78rDQBMAAAAAAGAAAAPz8APwAAgAAAAAAAPC/Apm7lpAP+hHAAAAAAAAYAAAA/PwA/AACAAAAAAAA8L8C/7J78rDQFEAAAAAAABgAAAD8/AD8AAIAAAAAAADwvwLHuriNBvAHwAL/snvysNAUwAAAAAAYAAAA/PwA/AACAAAAAAAA8L8CMLsnDwv1FMACx9y1hHzQ9L8AAAAAHAAAAPz8APwAAgAAAAAAAPC/Av+ye/Kw0BRAAtV46SYxCPg/AAAAABwAAAD8/AD8AAIAAAAAAADwvwIxKqkT0AQaQAK5/If029fnvwAAAAAYAAAA/PwA/AACAAAAAAAA8L8CmbuWkA/6AcACMSqpE9AEGsAAAAAAGAAAAPz8APwAAgAAAAAAAPC/AjEqqRPQBBpAApm7lpAP+gFAAAAAABgAAAD8/AD8AAIAAAAAAADwvwJ/jLlrCTkfQAAAAAAAIAAAAPz8APwAAgAAAAAAAPC/AjEqqRPQBBpAAgR4CyQo/g1AAAAAABgAAAD8/AD8AAIAAAAAAADwvwJ/jLlrCTkfQALVeOkmMQj4PwAAAAAgAAAA/PwA/AACAAAAAAAA8L8C2IFzRpQ2IkACufyH9NvX578AAAAAGAAAAPz8APwAAgAAAAAAAPC/Av+ye/Kw0BRAApm7lpAP+hFAAAAAABgAAAD8/AD8AAIAAAAAAADwvwLYgXNGlDYiQAKZu5aQD/oBwAAAAAABHAAEAWUIAAAAAAAAAAAACAFlCAAAAAAAAAAAAAwBZQQAAAAAAAAAAAAQAWUEAAAAAAAAAAAMFAFlBAAAAAAAAAAAEBgBZQQAAAAAAAAAABQcAWUICAAAAAAAAAAUIAFlBAAAAAAAAAAAGCQBZQgAAAAAAAAAABgoAWUEAAAAAAAAAAAcLAFlBAAAAAAAAAAAHDABZQQAAAAAAAAAACA0AWUICAAAAAAAAAAoOAFlBAAAAAAAAAAALDwBZQQAAAAAAAAAADABEAFlCAgAAAAAAAAAOAERAWUIDAAAAAAAAAA4ARIBZQQAAAAAAAAAADwBEwFlBAAAAAAAAAAAAREBFAFlBAAAAAAAAAAAARIBFQFlCAwAAAAAAAAAARQBFgFlBAAAAAAAAAAAARQBFwFlCAgAAAAAAAAAARUBGAFlBAAAAAAAAAAAARYBGQFlBAAAAAAAAAAAARgBGgFlBAAAAAAAAAAANAEQAWUEAAAAAAAAAAABFQEXAWUEAAAAAAAAAAAAAAAA</t>
        </r>
      </text>
    </comment>
    <comment ref="A143" authorId="0" shapeId="0" xr:uid="{5FD9FADC-C77C-4680-AA4D-8481AAEF201D}">
      <text>
        <r>
          <rPr>
            <sz val="9"/>
            <color indexed="81"/>
            <rFont val="Segoe UI"/>
            <charset val="1"/>
          </rPr>
          <t>Insight iXlW00001C0000143R0080105531S00000284P01284LAocjBAQBF1NjaVRlZ2ljLmRhdGEuTW9sZWN1bGUBbwF/ARJTY2lUZWdpYy5Nb2xlY3VsZQAAAQFkAv5qAQAAAAIAAgERIAAAAPz8APwAAgAAAAAAAPC/AAAAAAAAHAAEAPz8APwAAgAAAAAAAPC/Am8Sg8DKofQ/AsWxLm6jAei/AAAAACAA/AD8/AD8AAIAAAAAAADwvwJvEoPAyqEEQAKJY13cRgOoPwAAAAAYAAAA/PwA/AACAAAAAAAA8L8CqMZLN4lB9D8Ct/P91HjpAcAAAAAAGAAAAPz8APwAAgAAAAAAAPC/Aoxs5/upcQRAAqfoSC7/oQfAAAAAABgAAAD8/AD8AAIAAAAAAADwvwIep+hILv+xvwKn6Egu/6EHwAAAAAAgAAAA/PwA/AACAAAAAAAA8L8Cw/UoXI/CDkACfq62Yn9ZAcAAAAAAGAAAAPz8APwAAgAAAAAAAPC/AuGcEaW9QQRAAvaX3ZOHxRHAAAAAABgAAAD8/AD8AAIAAAAAAADwvwKJY13cRgO4vwL2l92Th8URwAAAAAAYAAAA/PwA/AACAAAAAAAA8L8CNjy9UpYh8z8CUyegibChFMAAAAAAGAAAAPz8APwAAgAAAAAAAPC/AhgmUwWjkg5AAlMnoImwoRTAAAAAABwABAD8/AD8AAIAAAAAAADwvwLE0ytlGeL2vwJTJ6CJsKEUwAAAAAAgAAAA/PwA/AACAAAAAAAA8L8Ck8t/SL99FEACGlHaG3yhEcAAAAAAIAAAAPz8APwAAgAAAAAAAPC/Ahlz1xLyQfe/AvVKWYY4lhrAAAAAACAA/AD8/AD8AAIAAAAAAADwvwJvEoPAyiEGwAI+CtejcH0RwAAAAAAYAAAA/PwA/AACAAAAAAAA8L8CGQRWDi2yGUACUyegibChFMAAAAAAGAAAAPz8APwAAgAAAAAAAPC/Ap88LNSa5h5AAhpR2ht8oRHAAAAAAAERAAQBZQgAAAAAAAAAAAQIAWUEAAAAAAAAAAAEDAFlBAAAAAAAAAAADBABZQgIAAAAAAAAAAwUAWUEAAAAAAAAAAAQGAFlBAAAAAAAAAAAEBwBZQQAAAAAAAAAABQgAWUIDAAAAAAAAAAcJAFlCAgAAAAAAAAAHCgBZQQAAAAAAAAAACAsAWUEAAAAAAAAAAAoMAFlBAAAAAAAAAAALDQBZQgAAAAAAAAAACw4AWUEAAAAAAAAAAAwPAFlBAAAAAAAAAAAPAEQAWUEAAAAAAAAAAAgJAFlBAAAAAAAAAAAAAAAAA==</t>
        </r>
      </text>
    </comment>
    <comment ref="A144" authorId="0" shapeId="0" xr:uid="{8DB23703-2A29-4391-AE62-C48285209FC9}">
      <text>
        <r>
          <rPr>
            <sz val="9"/>
            <color indexed="81"/>
            <rFont val="Segoe UI"/>
            <charset val="1"/>
          </rPr>
          <t>Insight iXlW00001C0000144R0080105531S00000286P01648LAocjBAQBF1NjaVRlZ2ljLmRhdGEuTW9sZWN1bGUBbwF/ARJTY2lUZWdpYy5Nb2xlY3VsZQAAAQFkAv5qAQAAAAIAAgEWAREAAAD8/AD8AAIAAAAAAADwvwAAAAAAABgAAAD8/AD8AAIAAAAAAADwvwACy6FFtvP99z8AAAAAGAAAAPz8APwAAgAAAAAAAPC/AoC3QILix/S/AnyDL0ymCgJAAAAAABgAAAD8/AD8AAIAAAAAAADwvwKAt0CC4sf0PwJ8gy9MpgoCQAAAAAABEQAAAPz8APwAAgAAAAAAAPC/AoC3QILixwTAAsuhRbbz/fc/AAAAABgAAAD8/AD8AAIAAAAAAADwvwKAt0CC4sf0vwJhVFInoAkOQAAAAAAcAAAA/PwA/AACAAAAAAAA8L8CgLdAguLHBEAC5x2n6Egu+D8AAAAAGAAAAPz8APwAAgAAAAAAAPC/AoC3QILix/Q/AmFUUiegCQ5AAAAAABgAAAD8/AD8AAIAAAAAAADwvwACX5hMFYwKEkAAAAAAGAAAAPz8APwAAgAAAAAAAPC/AkETYcPTKw9AAnyDL0ymCgJAAAAAACAAAAD8/AD8AAIAAAAAAADwvwJBE2HD0ysPQAJhVFInoAkOQAAAAAAYAAAA/PwA/AACAAAAAAAA8L8CgLdAguLHFEAC5x2n6Egu+D8AAAAAGAAAAPz8APwAAgAAAAAAAPC/AkT67evA+RlAAnyDL0ymCgJAAAAAABgAAAD8/AD8AAIAAAAAAADwvwKAt0CC4scUQALtDb4wmSqIPwAAAAAYAAAA/PwA/AACAAAAAAAA8L8CJCh+jLkrH0AC5x2n6Egu+D8AAAAAGAAAAPz8APwAAgAAAAAAAPC/AkT67evA+RlAAiDSb18Hzue/AAAAABgAAAD8/AD8AAIAAAAAAADwvwIkKH6MuSsfQALtDb4wmSqIPwAAAAAgAAAA/PwA/AACAAAAAAAA8L8CAiuHFtkuIkACINJvXwfO578AAAAAGAAAAPz8APwAAgAAAAAAAPC/AgIrhxbZLiJAAm7F/rJ78gHAAAAAACAAAAD8/AD8AAIAAAAAAADwvwLyQc9m1cckQALLoUW28/0HwAAAAAAYAAAA/PwA/AACAAAAAAAA8L8C8kHPZtXHJEACWDm0yHb+EcAAAAAAGAAAAPz8APwAAgAAAAAAAPC/AuJYF7fRYCdAApwzorQ3+BTAAAAAAAEXAAQBZQQAAAAAAAAAAAQIAWUICAAAAAAAAAAEDAFlBAAAAAAAAAAACBABZQQAAAAAAAAAAAgUAWUEAAAAAAAAAAAMGAFlBAAAAAAAAAAADBwBZQgIAAAAAAAAABQgAWUICAAAAAAAAAAYJAFlBAAAAAAAAAAAJCgBZQgAAAAAAAAAACQsAWUEAAAAAAAAAAAsMAFlCAwAAAAAAAAALDQBZQQAAAAAAAAAADA4AWUEAAAAAAAAAAA0PAFlCAgAAAAAAAAAOAEQAWUIDAAAAAAAAAABEAERAWUEAAAAAAAAAAABEQESAWUEAAAAAAAAAAABEgETAWUEAAAAAAAAAAABEwEUAWUEAAAAAAAAAAABFAEVAWUEAAAAAAAAAAAcIAFlBAAAAAAAAAAAPAEQAWUEAAAAAAAAAAAAAAAA</t>
        </r>
      </text>
    </comment>
    <comment ref="A145" authorId="0" shapeId="0" xr:uid="{BC978DB8-E4D6-4AE8-828F-A97A6626665D}">
      <text>
        <r>
          <rPr>
            <sz val="9"/>
            <color indexed="81"/>
            <rFont val="Segoe UI"/>
            <charset val="1"/>
          </rPr>
          <t>Insight iXlW00001C0000145R0080105531S00000288P01140LAocjBAQBF1NjaVRlZ2ljLmRhdGEuTW9sZWN1bGUBbwF/ARJTY2lUZWdpYy5Nb2xlY3VsZQAAAQFkAv5qAQAAAAIAAjwBEQAAAPz8APwAAgAAAAAAAPC/AAAAAAAAGAAAAPz8APwAAgAAAAAAAPC/AoNRSZ2AJvU/ArFQa5p3nOi/AAAAABgAAAD8/AD8AAIAAAAAAADwvwIW+8vuycP0PwLSkVz+Q/oBwAAAAAAYAAAA/PwA/AACAAAAAAAA8L8Cg1FJnYAmBUACXW3F/rJ7or8AAAAAAREAAAD8/AD8AAIAAAAAAADwvwL6fmq8dJOIvwIAkX77OvAHwAAAAAAYAAAA/PwA/AACAAAAAAAA8L8CTKYKRiX1BEAC/mX35GEhCMAAAAAAGAAAAPz8APwAAgAAAAAAAPC/AkT67evAuQ9AAqVOQBNhw+m/AAAAABgAAAD8/AD8AAIAAAAAAADwvwIOT6+UZYgPQAKHp1fKMkQCwAAAAAABEQAAAPz8APwAAgAAAAAAAPC/AmdmZmZmJhVAAkymCkYldbK/AAAAACAAAAD8/AD8AAIAAAAAAADwvwLNO07RkdwUQAL+ZffkYSEIwAAAAAAYDAAA/PwA/AACAAAAAAAA8L8CFNBE2PD0GUAC0pFc/kP6AcAAAAAAGAAAAPz8APwAAgAAAAAAAPC/AndPHhZqDR9AAkhQ/Bhz1wfAAAAAABgAAAD8/AD8AAIAAAAAAADwvwKVZYhjXdwZQALgT42XbhLnvwAAAAAgAAAA/PwA/AACAAAAAAAA8L8C33GKjuQSIkAC1LzjFB3JAcAAAAAAIAAAAPz8APwAAgAAAAAAAPC/Atz5fmq89B5AAhPyQc9m1RHAAAAAADwABAFlBAAAAAAAAAAABAgBZQgIAAAAAAAAAAQMAWUEAAAAAAAAAAAIEAFlBAAAAAAAAAAACBQBZQQAAAAAAAAAAAwYAWUIDAAAAAAAAAAUHAFlCAwAAAAAAAAAGCABZQQAAAAAAAAAABwkAWUEAAAAAAAAAAAkKAFlBAAAAAAAAAAAKCwBZQQAAAAAAAAAACgwAWUEEAAAAAAAAAAsNAFlCAAAAAAAAAAALDgBZQQAAAAAAAAAABgcAWUEAAAAAAAAAAAAAAAA</t>
        </r>
      </text>
    </comment>
    <comment ref="A146" authorId="0" shapeId="0" xr:uid="{8BF49B9C-2AC5-42A1-AB11-D68996D0BA19}">
      <text>
        <r>
          <rPr>
            <sz val="9"/>
            <color indexed="81"/>
            <rFont val="Segoe UI"/>
            <charset val="1"/>
          </rPr>
          <t>Insight iXlW00001C0000146R0080105531S00000290P01896LAocjBAQBF1NjaVRlZ2ljLmRhdGEuTW9sZWN1bGUBbwF/ARJTY2lUZWdpYy5Nb2xlY3VsZQAAAQFkAv5qAQAAAAIBAgEZAREAAAD8/AD8AAIAAAAAAADwvwAAAAAAABgAAAD8/AD8AAIAAAAAAADwvwLChqdXyjLoPwLrc7UV+8v0PwAAAAAYAAAA/PwA/AACAAAAAAAA8L8CPL1SliEOAkAC63O1FfvL9D8AAAAAGAAAAPz8APwAAgAAAAAAAPC/AAKyne+nxssEQAAAAAAYAAAA/PwA/AACAAAAAAAA8L8C3+ALk6kCCEACsp3vp8bLBEAAAAAAGAAAAPz8APwAAgAAAAAAAPC/AsKGp1fKMug/AqhXyjLEMQ9AAAAAACAAAAD8/AD8AAIAAAAAAADwvwIEVg4tst0RQAI3GsBbIEEHQAAAAAAYAAAA/PwA/AACAAAAAAAA8L8CPL1SliEOAkACqFfKMsQxD0AAAAAAGAAAAPz8APwAAgAAAAAAAPC/Apf/kH77ehJAAr4wmSoYlRFAAAAAABwAAAD8/AD8AAIAAAAAAADwvwK7uI0G8BYKQAIL16NwPQoUQAAAAAAgAAAA/PwA/AACAAAAAAAA8L8Cklz+Q/qtF0ACkML1KFyPFEAAAAAAGAAAAPz8APwAAgAAAAAAAPC/AnHOiNLe4BxAAr4wmSoYlRFAAAAAABgAAAD8/AD8AAIAAAAAAADwvwK2FfvL7gkhQAKQwvUoXI8UQAAAAAAYAAAA/PwA/AACAAAAAAAA8L8Ccc6I0t7gHEAC8YXJVMEoB0AAAAAAGAAAAPz8APwAAgAAAAAAAPC/AjPEsS5uoyNAAr4wmSoYlRFAAAAAABgAAAD8/AD8AAIAAAAAAADwvwK2FfvL7gkhQAJApN++DhwBQAAAAAAYAAAA/PwA/AACAAAAAAAA8L8CM8SxLm6jI0AC8YXJVMEoB0AAAAAAIAAAAPz8APwAAgAAAAAAAPC/ArByaJHtPCZAAkCk374OHAFAAAAAABgIAAD8/AD8AAIAAAAAAADwvwKwcmiR7TwmQAKze/KwUGvkPwAAAAAYAAAA/PwA/AACAAAAAAAA8L8CoKut2F/WKEACvJaQD3o2u78AAAAAGAAAAPz8APwAAgAAAAAAAPC/AjPEsS5uoyNAAoofY+5aQr6/AAAAACAAAAD8/AD8AAIAAAAAAADwvwIdWmQ7328rQAKze/KwUGvkPwAAAAAgAAAA/PwA/AACAAAAAAAA8L8CoKut2F/WKEACg8DKoUW2+b8AAAAAGAAAAPz8APwAAgAAAAAAAPC/Ah1aZDvfbytAAvJBz2bV5wLAAAAAABgAAAD8/AD8AAIAAAAAAADwvwIdWmQ7328rQAJ+HThnROkOwAAAAAABGwAEAWUEAAAAAAAAAAAECAFlCAwAAAAAAAAABAwBZQQAAAAAAAAAAAgQAWUEAAAAAAAAAAAMFAFlCAgAAAAAAAAAEBgBZQQAAAAAAAAAABAcAWUIDAAAAAAAAAAYIAFlBAAAAAAAAAAAHCQBZQQAAAAAAAAAACAoAWUEAAAAAAAAAAAoLAFlBAAAAAAAAAAALDABZQgMAAAAAAAAACw0AWUEAAAAAAAAAAAwOAFlBAAAAAAAAAAANDwBZQgIAAAAAAAAADgBEAFlCAwAAAAAAAAAARABEQFlBAAAAAAAAAAAAREBEgFlBAAAAAAAAAAAARIBEwFlBAAAAAAAAAAAARIBFAFlBBAAAAAAAAAAARMBFQFlCAAAAAAAAAAAARMBFgFlBAAAAAAAAAAAARYBFwFlBAAAAAAAAAAAARcBGAFlBAAAAAAAAAAAFBwBZQQAAAAAAAAAACAkAWUICAAAAAAAAAA8ARABZQQAAAAAAAAAAAAAAAA=</t>
        </r>
      </text>
    </comment>
    <comment ref="A147" authorId="0" shapeId="0" xr:uid="{BE4A0F4B-4CB1-4FDE-B127-0356903A43A1}">
      <text>
        <r>
          <rPr>
            <sz val="9"/>
            <color indexed="81"/>
            <rFont val="Segoe UI"/>
            <charset val="1"/>
          </rPr>
          <t>Insight iXlW00001C0000147R0080105531S00000292P01672LAocjBAQBF1NjaVRlZ2ljLmRhdGEuTW9sZWN1bGUBbwF/ARJTY2lUZWdpYy5Nb2xlY3VsZQAAAQFkAv5qAQAAAAIAAgEWAREAAAD8/AD8AAIAAAAAAADwvwAAAAAAABgAAAD8/AD8AAIAAAAAAADwvwL3deCcEaXjvwJGR3L5D+n1PwAAAAAYAAAA/PwA/AACAAAAAAAA8L8Cx0s3iUFg0T8CWMoyxLGuBEAAAAAAGAAAAPz8APwAAgAAAAAAAPC/Aqyt2F92zwDAAiFB8WPMXfg/AAAAACAAAAD8/AD8AAIAAAAAAADwvwK/nxov3ST8PwKjI7n8h3QDQAAAAAAYAAAA/PwA/AACAAAAAAAA8L8CY+5aQj7o1b8C++3rwDmjD0AAAAAAGAAAAPz8APwAAgAAAAAAAPC/AirLEMe6uAXAAjPEsS5uIwdAAAAAABgAAAD8/AD8AAIAAAAAAADwvwKegCbChicFQAJYyjLEsS4NQAAAAAAYAAAA/PwA/AACAAAAAAAA8L8CZohjXdxG/b8CdLUV+8tuEEAAAAAAGAAAAPz8APwAAgAAAAAAAPC/Aqyt2F92zxDAAuhqK/aXXQhAAAAAABgAAAD8/AD8AAIAAAAAAADwvwKCc0aU9oYQQAJqTfOOU/QLQAAAAAABEQAAAPz8APwAAgAAAAAAAPC/ArHh6ZWyjAPAAkZHcvkP6RVAAAAAAAEQAAAA/PwA/AACAAAAAAAA8L8CJzEIrBxaFMACZohjXdxG/T8AAAAAIAAAAPz8APwAAgAAAAAAAPC/Apm7lpAP+g7AAvH0SlmGOO4/AAAAACAAAAD8/AD8AAIAAAAAAADwvwKjtDf4wuQXwAL3deCcEaXjPwAAAAAYAAAA/PwA/AACAAAAAAAA8L8CggTFjzE3GcACKssQx7q4BUAAAAAAHAAAAPz8APwAAgAAAAAAAPC/AoIExY8xNxnAArMMcayL2xBAAAAAABgAAAD8/AD8AAIAAAAAAADwvwJ2cRsN4O0ewAKZKhiV1AkCQAAAAAAgAAAA/PwA/AACAAAAAAAA8L8CdnEbDeDtHsAC+1xtxf6yEkAAAAAAGAAAAPz8APwAAgAAAAAAAPC/Anl6pSxDPCHAAk/RkVz+wwtAAAAAABgAAAD8/AD8AAIAAAAAAADwvwKHONbFbXQjwAJoImx4euURQAAAAAAYAAAA/PwA/AACAAAAAAAA8L8ChzjWxW10I8ACzV1LyAe9A0AAAAAAARcABAFlBAAAAAAAAAAABAgBZQgIAAAAAAAAAAQMAWUEAAAAAAAAAAAIEAFlBAAAAAAAAAAACBQBZQQAAAAAAAAAAAwYAWUIDAAAAAAAAAAQHAFlBAAAAAAAAAAAFCABZQgMAAAAAAAAABgkAWUEAAAAAAAAAAAcKAFlBAAAAAAAAAAAICwBZQQAAAAAAAAAACQwAWUEAAAAAAAAAAAwNAFlCAAAAAAAAAAAMDgBZQgAAAAAAAAAADA8AWUEAAAAAAAAAAA8ARABZQgMAAAAAAAAADwBEQFlBAAAAAAAAAAAARABEgFlBAAAAAAAAAAAAREBEwFlBAAAAAAAAAAAARMBFAFlBAAAAAAAAAAAARMBFQFlBAAAAAAAAAAAGCABZQQAAAAAAAAAAAESARMBZQQAAAAAAAAAAAAAAAA=</t>
        </r>
      </text>
    </comment>
    <comment ref="A148" authorId="0" shapeId="0" xr:uid="{862FCE5D-A78B-4DD5-A8EE-F637F352E52B}">
      <text>
        <r>
          <rPr>
            <sz val="9"/>
            <color indexed="81"/>
            <rFont val="Segoe UI"/>
            <charset val="1"/>
          </rPr>
          <t>Insight iXlW00001C0000148R0080105531S00000294P02268LAocjBAQBF1NjaVRlZ2ljLmRhdGEuTW9sZWN1bGUBbwF/ARJTY2lUZWdpYy5Nb2xlY3VsZQAAAQFkAv5qAQAAAAIAAgEeAREAAAD8/AD8AAIAAAAAAADwvwAAAAAAABgAAAD8/AD8AAIAAAAAAADwvwLUvOMUHcn0PwICK4cW2c7nPwAAAAAYAAAA/PwA/AACAAAAAAAA8L8C1LzjFB3J9D8CiPTb14HzAUAAAAAAGAAAAPz8APwAAgAAAAAAAPC/AtS84xQdyQRAAu0NvjCZKoi/AAAAABwAAAD8/AD8AAIAAAAAAADwvwACj1N0JJf/B0AAAAAAGAAAAPz8APwAAgAAAAAAAPC/AtS84xQdyQRAAoGVQ4ts5wdAAAAAABgAAAD8/AD8AAIAAAAAAADwvwJ2cRsN4C0PQALLMsSxLm7nPwAAAAAYAAAA/PwA/AACAAAAAAAA8L8AAqs+V1ux/xFAAAAAABwAAAD8/AD8AAIAAAAAAADwvwLUvOMUHckEQAKk374OnPMRQAAAAAAYAAAA/PwA/AACAAAAAAAA8L8CdnEbDeAtD0ACejarPlfbAUAAAAAAGAAAAPz8APwAAgAAAAAAAPC/AtS84xQdyfQ/AgwkKH6M+RRAAAAAABgAAAD8/AD8AAIAAAAAAADwvwLUvOMUHcn0vwITg8DKoQUVQAAAAAAYAAAA/PwA/AACAAAAAAAA8L8CdnEbDeAtD0ACBcWPMXftFEAAAAAAIAAAAPz8APwAAgAAAAAAAPC/AtS84xQdyfQ/AvA4RUdy+RpAAAAAACAAAAD8/AD8AAIAAAAAAADwvwLUvOMUHcn0vwL3l92ThwUbQAAAAAAYAAAA/PwA/AACAAAAAAAA8L8C1LzjFB3JBMACsp3vp8YLEkAAAAAAGAAAAPz8APwAAgAAAAAAAPC/AnZxGw3gLQ9AAunZrPpc7RpAAAAAABgAAAD8/AD8AAIAAAAAAADwvwLwp8ZLN8kUQAKegCbChucRQAAAAAAYAAAA/PwA/AACAAAAAAAA8L8CdnEbDeAtD8ACGuJYF7cRFUAAAAAAGAAAAPz8APwAAgAAAAAAAPC/AtS84xQdyQTAAp0Rpb3BFwhAAAAAABgAAAD8/AD8AAIAAAAAAADwvwLwp8ZLN8kUQAJJv30dOOcdQAAAAAAYAAAA/PwA/AACAAAAAAAA8L8CJZf/kH77GUAC/mX35GHhFEAAAAAAIAAAAPz8APwAAgAAAAAAAPC/AnZxGw3gLQ/AAv32deCcERtAAAAAABgAAAD8/AD8AAIAAAAAAADwvwLwp8ZLN8kUwAK5/If02xcSQAAAAAAgAAAA/PwA/AACAAAAAAAA8L8C1LzjFB3J9L8ClrIMcawLAkAAAAAAGAAAAPz8APwAAgAAAAAAAPC/AnZxGw3gLQ/AAt1GA3gLJAJAAAAAABgAAAD8/AD8AAIAAAAAAADwvwIll/+QfvsZQALiehSuR+EaQAAAAAAYAAAA/PwA/AACAAAAAAAA8L8C8KfGSzfJFMACq8/VVuwvCEAAAAAAIAAAAPz8APwAAgAAAAAAAPC/AlqGONbFLR9AAkJg5dAi2x1AAAAAABgAAAD8/AD8AAIAAAAAAADwvwLHuriNBjAiQALbG3xhMtUaQAAAAAABIQAEAWUEAAAAAAAAAAAECAFlCAgAAAAAAAAABAwBZQQAAAAAAAAAAAgQAWUEAAAAAAAAAAAIFAFlBAAAAAAAAAAADBgBZQgIAAAAAAAAABAcAWUICAAAAAAAAAAUIAFlBAAAAAAAAAAAFCQBZQgIAAAAAAAAABwoAWUEAAAAAAAAAAAcLAFlBAAAAAAAAAAAIDABZQQAAAAAAAAAACg0AWUIAAAAAAAAAAAsOAFlCAAAAAAAAAAALDwBZQQAAAAAAAAAADABEAFlCAwAAAAAAAAAMAERAWUEAAAAAAAAAAA8ARIBZQgIAAAAAAAAADwBEwFlBAAAAAAAAAAAARABFAFlBAAAAAAAAAAAAREBFQFlCAgAAAAAAAAAARIBFgFlBAAAAAAAAAAAARIBFwFlBAAAAAAAAAAAARMBGAFlCAAAAAAAAAAAARMBGQFlBAAAAAAAAAAAARQBGgFlCAwAAAAAAAAAARcBGwFlBAAAAAAAAAAAARoBHAFlBAAAAAAAAAAAARwBHQFlBAAAAAAAAAAAGCQBZQQAAAAAAAAAACAoAWUEAAAAAAAAAAABFQEaAWUEAAAAAAAAAAABGQEbAWUEAAAAAAAAAAAAAAAA</t>
        </r>
      </text>
    </comment>
    <comment ref="A149" authorId="0" shapeId="0" xr:uid="{E7C1F75A-8383-4708-974B-101212088AC8}">
      <text>
        <r>
          <rPr>
            <sz val="9"/>
            <color indexed="81"/>
            <rFont val="Segoe UI"/>
            <charset val="1"/>
          </rPr>
          <t>Insight iXlW00001C0000149R0080105531S00000296P01752LAocjBAQBF1NjaVRlZ2ljLmRhdGEuTW9sZWN1bGUBbwF/ARJTY2lUZWdpYy5Nb2xlY3VsZQAAAQFkAv5qAQAAAAIAAgEXAREAAAD8/AD8AAIAAAAAAADwvwAAAAAAABgAAAD8/AD8AAIAAAAAAADwvwLkg57Nqs/nPwLUvOMUHcn0PwAAAAAYAAAA/PwA/AACAAAAAAAA8L8CwcqhRbbzAUAC1LzjFB3J9D8AAAAAGAAAAPz8APwAAgAAAAAAAPC/AAIMk6mCUckEQAAAAAAYAAAA/PwA/AACAAAAAAAA8L8Cj1N0JJf/B0ACDJOpglHJBEAAAAAAGAAAAPz8APwAAgAAAAAAAPC/AuSDns2qz+c/AnZxGw3gLQ9AAAAAAAEQAAAA/PwA/AACAAAAAAAA8L8ClyGOdXHbEUACIGPuWkI+B0AAAAAAGAAAAPz8APwAAgAAAAAAAPC/AsHKoUW28wFAAnZxGw3gLQ9AAAAAABgAAAD8/AD8AAIAAAAAAADwvwIqyxDHungSQAJt5/up8ZIRQAAAAAAcAAAA/PwA/AACAAAAAAAA8L8CXW3F/rL7CUACZMxdS8gHFEAAAAAAIAAAAPz8APwAAgAAAAAAAPC/Al+6SQwCqxdAAtQrZRnimBRAAAAAABgAAAD8/AD8AAIAAAAAAADwvwKTqYJRSd0cQAJt5/up8ZIRQAAAAAAYAAAA/PwA/AACAAAAAAAA8L8C8kHPZtUHIUAC1CtlGeKYFEAAAAAAGAAAAPz8APwAAgAAAAAAAPC/ApOpglFJ3RxAAtnO91PjJQdAAAAAABgAAAD8/AD8AAIAAAAAAADwvwKNuWsJ+aAjQAJt5/up8ZIRQAAAAAAYAAAA/PwA/AACAAAAAAAA8L8C8kHPZtUHIUACGQRWDi0yAUAAAAAAGAAAAPz8APwAAgAAAAAAAPC/Ao25awn5oCNAAtnO91PjJQdAAAAAACAAAAD8/AD8AAIAAAAAAADwvwK1pnnHKTomQAIZBFYOLTIBQAAAAAAYDAAA/PwA/AACAAAAAAAA8L8CtaZ5xyk6JkACRWlv8IXJ5D8AAAAAGAAAAPz8APwAAgAAAAAAAPC/AlAeFmpN0yhAAryWkA96Nru/AAAAABgAAAD8/AD8AAIAAAAAAADwvwKNuWsJ+aAjQAK8lpAPeja7vwAAAAAgAAAA/PwA/AACAAAAAAAA8L8CeAskKH5sK0ACRWlv8IXJ5D8AAAAAIAAAAPz8APwAAgAAAAAAAPC/AlAeFmpN0yhAAvtcbcX+svm/AAAAAAEZAAQBZQQAAAAAAAAAAAQIAWUIDAAAAAAAAAAEDAFlBAAAAAAAAAAACBABZQQAAAAAAAAAAAwUAWUICAAAAAAAAAAQGAFlBAAAAAAAAAAAEBwBZQgMAAAAAAAAABggAWUEAAAAAAAAAAAcJAFlBAAAAAAAAAAAICgBZQQAAAAAAAAAACgsAWUEAAAAAAAAAAAsMAFlCAwAAAAAAAAALDQBZQQAAAAAAAAAADA4AWUEAAAAAAAAAAA0PAFlCAgAAAAAAAAAOAEQAWUIDAAAAAAAAAABEAERAWUEAAAAAAAAAAABEQESAWUEAAAAAAAAAAABEgETAWUEAAAAAAAAAAABEgEUAWUEFAAAAAAAAAABEwEVAWUIAAAAAAAAAAABEwEWAWUEAAAAAAAAAAAUHAFlBAAAAAAAAAAAICQBZQgIAAAAAAAAADwBEAFlBAAAAAAAAAAAAAAAAA==</t>
        </r>
      </text>
    </comment>
    <comment ref="A150" authorId="0" shapeId="0" xr:uid="{FF433E75-6525-442A-9F20-DE5C6E00EB11}">
      <text>
        <r>
          <rPr>
            <sz val="9"/>
            <color indexed="81"/>
            <rFont val="Segoe UI"/>
            <charset val="1"/>
          </rPr>
          <t>Insight iXlW00001C0000150R0080105531S00000298P01832LAocjBAQBF1NjaVRlZ2ljLmRhdGEuTW9sZWN1bGUBbwF/ARJTY2lUZWdpYy5Nb2xlY3VsZQAAAQFkAv5qAQAAAAIAAgEYAREAAAD8/AD8AAIAAAAAAADwvwAAAAAAABgAAAD8/AD8AAIAAAAAAADwvwKA2T15WKjjPwI/V1uxv+z1PwAAAAAYAAAA/PwA/AACAAAAAAAA8L8CT6+UZYhj0b8CGQRWDi2yBEAAAAAAGAAAAPz8APwAAgAAAAAAAPC/AsNkqmBU0gBAAov9ZffkYfg/AAAAABwAAAD8/AD8AAIAAAAAAADwvwKaCBueXin8vwLzsFBrmncDQAAAAAAYAAAA/PwA/AACAAAAAAAA8L8CsAPnjCjt1T8CuK8D54yoD0AAAAAAGAAAAPz8APwAAgAAAAAAAPC/AiPb+X5qvAVAAmWqYFRSJwdAAAAAABwAAAD8/AD8AAIAAAAAAADwvwKNuWsJ+SAEwAK/nxov3STyPwAAAAAYAAAA/PwA/AACAAAAAAAA8L8CW9O84xQdBsAC71pCPuhZDEAAAAAAGAAAAPz8APwAAgAAAAAAAPC/ArOd76fGS/0/Am+BBMWPcRBAAAAAABwAAAD8/AD8AAIAAAAAAADwvwLUK2UZ4tgPwAJX7C+7Jw/3PwAAAAAgAAAA/PwA/AACAAAAAAAA8L8CRwN4CySoA8ACm+Ydp+gIFEAAAAAAHAAAAPz8APwAAgAAAAAAAPC/An0/NV66iRDAAo/k8h/SbwdAAAAAABgAAAD8/AD8AAIAAAAAAADwvwIH8BZIULwVwALAWyBB8WMNQAAAAAAgAAAA/PwA/AACAAAAAAAA8L8CB/AWSFC8FcACGQRWDi2yFEAAAAAAHAAAAPz8APwAAgAAAAAAAPC/ApGg+DHm7hrAAoEmwoanVwdAAAAAABgAAAD8/AD8AAIAAAAAAADwvwKNKO0NvhAgwALAWyBB8WMNQAAAAAAYAAAA/PwA/AACAAAAAAAA8L8CkaD4MebuGsACrkfhehSu9j8AAAAAGAAAAPz8APwAAgAAAAAAAPC/AmB2Tx4WqiLAAo/k8h/SbwdAAAAAABgAAAD8/AD8AAIAAAAAAADwvwKNKO0NvhAgwAIZBFYOLbIUQAAAAAAYAAAA/PwA/AACAAAAAAAA8L8CjSjtDb4QIMAClrIMcayL5T8AAAAAGAAAAPz8APwAAgAAAAAAAPC/AqVOQBNhQyXAAs4ZUdobfA1AAAAAABgAAAD8/AD8AAIAAAAAAADwvwJgdk8eFqoiwALVCWgibLgXQAAAAAAYAAAA/PwA/AACAAAAAAAA8L8CpU5AE2FDJcACIGPuWkK+FEAAAAAAARoABAFlBAAAAAAAAAAABAgBZQgIAAAAAAAAAAQMAWUEAAAAAAAAAAAIEAFlBAAAAAAAAAAACBQBZQQAAAAAAAAAAAwYAWUICAAAAAAAAAAQHAFlBAAAAAAAAAAAECABZQQAAAAAAAAAABQkAWUICAAAAAAAAAAcKAFlCAgAAAAAAAAAICwBZQgAAAAAAAAAACAwAWUEAAAAAAAAAAAwNAFlBAAAAAAAAAAANDgBZQgAAAAAAAAAADQ8AWUEAAAAAAAAAAA8ARABZQQAAAAAAAAAADwBEQFlBAAAAAAAAAAAARABEgFlBAAAAAAAAAAAARABEwFlBAAAAAAAAAAAAREBFAFlBAAAAAAAAAAAARIBFQFlBAAAAAAAAAAAARMBFgFlBAAAAAAAAAAAARUBFwFlBAAAAAAAAAAAGCQBZQQAAAAAAAAAACgwAWUEAAAAAAAAAAABFgEXAWUEAAAAAAAAAAAAAAAA</t>
        </r>
      </text>
    </comment>
    <comment ref="A151" authorId="0" shapeId="0" xr:uid="{A0493115-B091-400B-AEDF-ED080E314EA8}">
      <text>
        <r>
          <rPr>
            <sz val="9"/>
            <color indexed="81"/>
            <rFont val="Segoe UI"/>
            <charset val="1"/>
          </rPr>
          <t>Insight iXlW00001C0000151R0080105531S00000300P00924LAocjBAQBF1NjaVRlZ2ljLmRhdGEuTW9sZWN1bGUBbwF/ARJTY2lUZWdpYy5Nb2xlY3VsZQAAAQFkAv5qAQAAAAIAAjAgAAAA/PwA/AACAAAAAAAA8L8AAAAAAAAYAAAA/PwA/AACAAAAAAAA8L8CgbdAguLHmD8CGCZTBaOS+L8AAAAAHAAAAPz8APwAAgAAAAAAAPC/Akw3iUFg5fQ/AmMQWDm0SALAAAAAABwAAAD8/AD8AAIAAAAAAADwvwKQMXctIR/0vwIaUdobfGECwAAAAAAYAAAA/PwA/AACAAAAAAAA8L8C3bWEfNCzBEACqaROQBNh+L8AAAAAGAAAAPz8APwAAgAAAAAAAPC/Am40gLdAgvQ/ApGg+DHmLg7AAAAAABgAAAD8/AD8AAIAAAAAAADwvwI4iUFg5VAEwAKHp1fKMsT4vwAAAAAYAAAA/PwA/AACAAAAAAAA8L8Cb6MBvAWSDsAC0pFc/kN6AsAAAAAAGAAAAPz8APwAAgAAAAAAAPC/AqcKRiV1ggTAAoG3QILix4i/AAAAABgAAAD8/AD8AAIAAAAAAADwvwLT3uALk2kUwAL2KFyPwvX4vwAAAAAYAAAA/PwA/AACAAAAAAAA8L8C3iQGgZXDDsACXkvIBz2b5z8AAAAAGAAAAPz8APwAAgAAAAAAAPC/AoofY+5aghTAAoG3QILix5i/AAAAADAABAFlCAAAAAAAAAAABAgBZQQAAAAAAAAAAAQMAWUEAAAAAAAAAAAIEAFlBAAAAAAAAAAACBQBZQQAAAAAAAAAAAwYAWUEAAAAAAAAAAAYHAFlCAwAAAAAAAAAGCABZQQAAAAAAAAAABwkAWUEAAAAAAAAAAAgKAFlCAgAAAAAAAAAJCwBZQgIAAAAAAAAACgsAWUEAAAAAAAAAAAAAAAA</t>
        </r>
      </text>
    </comment>
    <comment ref="A152" authorId="0" shapeId="0" xr:uid="{8BD378D5-B10F-4C9D-8652-ABE84B24A039}">
      <text>
        <r>
          <rPr>
            <sz val="9"/>
            <color indexed="81"/>
            <rFont val="Segoe UI"/>
            <charset val="1"/>
          </rPr>
          <t>Insight iXlW00001C0000152R0080105531S00000302P01708LAocjBAQBF1NjaVRlZ2ljLmRhdGEuTW9sZWN1bGUBbwF/ARJTY2lUZWdpYy5Nb2xlY3VsZQAAAQFkAv5qAQAAAAIAAgEXAREAAAD8/AD8AAIAAAAAAADwvwAAAAAAABgAAAD8/AD8AAIAAAAAAADwvwJjEFg5tMj0PwI6I0p7gy/oPwAAAAAYAAAA/PwA/AACAAAAAAAA8L8CYxBYObTI9D8CXtxGA3gLAkAAAAAAGAAAAPz8APwAAgAAAAAAAPC/AmMQWDm0yARAAAAAAAAkAAAA/PwA/AACAAAAAAAA8L8AAubQItv5/gdAAAAAABgAAAD8/AD8AAIAAAAAAADwvwJjEFg5tMgEQAL0jlN0JBcIQAAAAAAYAAAA/PwA/AACAAAAAAAA8L8ClBgEVg4tD0ACAiuHFtnO5z8AAAAAGAAAAPz8APwAAgAAAAAAAPC/ApQYBFYOLQ9AAl7cRgN4CwJAAAAAABwAAAD8/AD8AAIAAAAAAADwvwJjEFg5tMgUQAAAAAAAGAAAAPz8APwAAgAAAAAAAPC/AnsUrkfh+hlAAgIrhxbZzuc/AAAAABgMAAD8/AD8AAIAAAAAAADwvwJjEFg5tMgUQAIep+hILv/3vwAAAAAgAAAA/PwA/AACAAAAAAAA8L8CexSuR+H6GUACF0hQ/BjzAUAAAAAAGAAAAPz8APwAAgAAAAAAAPC/ApQYBFYOLR9AAu0NvjCZKoi/AAAAABgAAAD8/AD8AAIAAAAAAADwvwKUGARWDi0PQAIXSFD8GPMBwAAAAAAYAAAA/PwA/AACAAAAAAAA8L8CexSuR+H6GUACF0hQ/BjzAcAAAAAAGAAAAPz8APwAAgAAAAAAAPC/AuSDns2qLyJAAgIrhxbZzuc/AAAAABgAAAD8/AD8AAIAAAAAAADwvwKUGARWDi0fQAI6I0p7gy/4vwAAAAAgAAAA/PwA/AACAAAAAAAA8L8CYxBYObTIBEACHqfoSC7/978AAAAAIAAAAPz8APwAAgAAAAAAAPC/ApQYBFYOLQ9AAqabxCCw8g3AAAAAABgAAAD8/AD8AAIAAAAAAADwvwLxhclUwcgkQALtDb4wmSqIvwAAAAAYAAAA/PwA/AACAAAAAAAA8L8C5IOezaovIkACXtxGA3gLAsAAAAAAGAAAAPz8APwAAgAAAAAAAPC/AmMQWDm0yARAAjMzMzMz8xHAAAAAABgAAAD8/AD8AAIAAAAAAADwvwLxhclUwcgkQAI6I0p7gy/4vwAAAAABGAAEAWUEAAAAAAAAAAAECAFlCAgAAAAAAAAABAwBZQQAAAAAAAAAAAgQAWUEAAAAAAAAAAAIFAFlBAAAAAAAAAAADBgBZQgMAAAAAAAAABQcAWUICAAAAAAAAAAYIAFlBAAAAAAAAAAAICQBZQQAAAAAAAAAACAoAWUEAAAAAAAAAAAkLAFlCAAAAAAAAAAAJDABZQQAAAAAAAAAACg0AWUEAAAAAAAAAAAoOAFlBBAAAAAAAAAAMDwBZQgMAAAAAAAAADABEAFlBAAAAAAAAAAANAERAWUIAAAAAAAAAAA0ARIBZQQAAAAAAAAAADwBEwFlBAAAAAAAAAAAARABFAFlCAgAAAAAAAAAARIBFQFlBAAAAAAAAAAAARMBFgFlCAgAAAAAAAAAGBwBZQQAAAAAAAAAAAEUARYBZQQAAAAAAAAAAAAAAAA=</t>
        </r>
      </text>
    </comment>
    <comment ref="A153" authorId="0" shapeId="0" xr:uid="{D0043E6C-980B-4F95-99DB-8BE8169154CF}">
      <text>
        <r>
          <rPr>
            <sz val="9"/>
            <color indexed="81"/>
            <rFont val="Segoe UI"/>
            <charset val="1"/>
          </rPr>
          <t>Insight iXlW00001C0000153R0080105531S00000304P02000LAocjBAQBF1NjaVRlZ2ljLmRhdGEuTW9sZWN1bGUBbwF/ARJTY2lUZWdpYy5Nb2xlY3VsZQAAAQFkAv5qAQAAAAIAAgEbARAAAAD8/AD8AAIAAAAAAADwvwAAAAAAACAAAAD8/AD8AAIAAAAAAADwvwKRfvs6cM70vwIT8kHPZtXnPwAAAAAgAAAA/PwA/AACAAAAAAAA8L8CS+oENBE26D8CkX77OnDO9D8AAAAAHAAAAPz8APwAAgAAAAAAAPC/ApF++zpwzvQ/AkvqBDQRNui/AAAAABgAAAD8/AD8AAIAAAAAAADwvwIT8kHPZtXnvwKRfvs6cM70vwAAAAAYAAAA/PwA/AACAAAAAAAA8L8CkX77OnDOBEAC7Q2+MJkqiL8AAAAAHAAAAPz8APwAAgAAAAAAAPC/AAKRfvs6cM4EwAAAAAAYAAAA/PwA/AACAAAAAAAA8L8CZF3cRgP4AcACkX77OnDO9L8AAAAAIAAAAPz8APwAAgAAAAAAAPC/ApF++zpwzgRAAqJFtvP91Pc/AAAAABwAAAD8/AD8AAIAAAAAAADwvwLaPXlYqDUPQAKD4seYu5bovwAAAAAYAAAA/PwA/AACAAAAAAAA8L8CE/JBz2bV578C2j15WKg1D8AAAAAAGAAAAPz8APwAAgAAAAAAAPC/AunZrPpc7QfAApF++zpwzgTAAAAAABgAAAD8/AD8AAIAAAAAAADwvwLp2az6XO0HwAAAAAAAGAAAAPz8APwAAgAAAAAAAPC/ApF++zpwzhRAAu0NvjCZKpi/AAAAABgAAAD8/AD8AAIAAAAAAADwvwJkXdxGA/gBwALaPXlYqDUPwAAAAAAkAAAA/PwA/AACAAAAAAAA8L8CgEi/fR34EcAAAAAAACQAAAD8/AD8AAIAAAAAAADwvwJWn6ut2N8BwAKRfvs6cM70PwAAAAAkAAAA/PwA/AACAAAAAAAA8L8CbVZ9rrbiDcACkX77OnDO9D8AAAAAHAAAAPz8APwAAgAAAAAAAPC/ApF++zpwzhRAAobJVMGopPc/AAAAABwAAAD8/AD8AAIAAAAAAADwvwI2XrpJDAIaQAKD4seYu5bovwAAAAAYAAAA/PwA/AACAAAAAAAA8L8CNl66SQwCGkACSOF6FK7HAUAAAAAAGAAAAPz8APwAAgAAAAAAAPC/Ato9eVioNR9AAu0NvjCZKpi/AAAAACAAAAD8/AD8AAIAAAAAAADwvwI2XrpJDAIaQAJfmEwVjMoNQAAAAAAYAAAA/PwA/AACAAAAAAAA8L8C2j15WKg1H0ACak3zjlN09z8AAAAAIAAAAPz8APwAAgAAAAAAAPC/Ar8OnDOiNCJAAoPix5i7lui/AAAAABgAAAD8/AD8AAIAAAAAAADwvwKRfvs6cM4UQAJWn6ut2N8RQAAAAAAYAAAA/PwA/AACAAAAAAAA8L8Cvw6cM6I0IkACuK8D54woAsAAAAAAARwABAFlCAAAAAAAAAAAAAgBZQgAAAAAAAAAAAAMAWUEAAAAAAAAAAAAEAFlBAAAAAAAAAAADBQBZQQAAAAAAAAAABAYAWUIDAAAAAAAAAAQHAFlBAAAAAAAAAAAFCABZQgAAAAAAAAAABQkAWUEAAAAAAAAAAAYKAFlBAAAAAAAAAAAHCwBZQgIAAAAAAAAABwwAWUEAAAAAAAAAAAkNAFlBAAAAAAAAAAAKDgBZQgIAAAAAAAAADA8AWUEAAAAAAAAAAAwARABZQQAAAAAAAAAADABEQFlBAAAAAAAAAAANAESAWUIDAAAAAAAAAA0ARMBZQQAAAAAAAAAAAESARQBZQQAAAAAAAAAAAETARUBZQgMAAAAAAAAAAEUARYBZQQAAAAAAAAAAAEUARcBZQgIAAAAAAAAAAEVARgBZQQAAAAAAAAAAAEWARkBZQQAAAAAAAAAAAEYARoBZQQAAAAAAAAAACw4AWUEAAAAAAAAAAABFQEXAWUEAAAAAAAAAAAAAAAA</t>
        </r>
      </text>
    </comment>
    <comment ref="A154" authorId="0" shapeId="0" xr:uid="{DF7A1ED1-630D-4316-8AA8-58F1F609173F}">
      <text>
        <r>
          <rPr>
            <sz val="9"/>
            <color indexed="81"/>
            <rFont val="Segoe UI"/>
            <charset val="1"/>
          </rPr>
          <t>Insight iXlW00001C0000154R0080105531S00000306P01768LAocjBAQBF1NjaVRlZ2ljLmRhdGEuTW9sZWN1bGUBbwF/ARJTY2lUZWdpYy5Nb2xlY3VsZQAAAQFkAv5qAQAAAAIAAgEYARAAAAD8/AD8AAIAAAAAAADwvwAAAAAAACAAAAD8/AD8AAIAAAAAAADwvwACDeAtkKD49z8AAAAAIAAAAPz8APwAAgAAAAAAAPC/Ag3gLZCg+Pe/AAAAAAAcAAAA/PwA/AACAAAAAAAA8L8AAg3gLZCg+Pe/AAAAABgAAAD8/AD8AAIAAAAAAADwvwIN4C2QoPj3PwAAAAAAGAAAAPz8APwAAgAAAAAAAPC/AjSitDf4wvS/AhHHuriNBgLAAAAAABwAAAD8/AD8AAIAAAAAAADwvwKq8dJNYhADQALi6ZWyDHHzPwAAAAAcAAAA/PwA/AACAAAAAAAA8L8CqvHSTWIQA0AC4umVsgxx878AAAAAGAAAAPz8APwAAgAAAAAAAPC/AjSitDf4wvS/Ahi30QDeAg7AAAAAABgAAAD8/AD8AAIAAAAAAADwvwJseHqlLMMEwAIN4C2QoPj3vwAAAAAcAAAA/PwA/AACAAAAAAAA8L8CXW3F/rJ7DkACKVyPwvUo6D8AAAAAGAAAAPz8APwAAgAAAAAAAPC/Al1txf6yew5AAilcj8L1KOi/AAAAACQAAAD8/AD8AAIAAAAAAADwvwACEce6uI0GEsAAAAAAGAAAAPz8APwAAgAAAAAAAPC/Amx4eqUswwTAAgpoImx4+hHAAAAAACQAAAD8/AD8AAIAAAAAAADwvwJseHqlLMMEwAAAAAAAGAAAAPz8APwAAgAAAAAAAPC/AobJVMGoJA/AAhHHuriNBgLAAAAAABgAAAD8/AD8AAIAAAAAAADwvwI830+Nl24UQAIN4C2QoPj3PwAAAAAYAAAA/PwA/AACAAAAAAAA8L8CPN9PjZduFEACKVyPwvUo+L8AAAAAGAAAAPz8APwAAgAAAAAAAPC/AobJVMGoJA/AAhi30QDeAg7AAAAAACAAAAD8/AD8AAIAAAAAAADwvwI830+Nl24UQAIN4C2QoPgHQAAAAAAcAAAA/PwA/AACAAAAAAAA8L8C5fIf0m+fGUACKVyPwvUo6D8AAAAAJAAAAPz8APwAAgAAAAAAAPC/AjzfT42XbhRAAhueXinLEAjAAAAAABgAAAD8/AD8AAIAAAAAAADwvwLl8h/Sb58ZQAIpXI/C9SjovwAAAAAYAAAA/PwA/AACAAAAAAAA8L8C5fIf0m+fGUACGLfRAN4CDkAAAAAAARoABAFlCAAAAAAAAAAAAAgBZQgAAAAAAAAAAAAMAWUEAAAAAAAAAAAAEAFlBAAAAAAAAAAADBQBZQQAAAAAAAAAABAYAWUIDAAAAAAAAAAQHAFlBAAAAAAAAAAAFCABZQgIAAAAAAAAABQkAWUEAAAAAAAAAAAYKAFlBAAAAAAAAAAAHCwBZQgMAAAAAAAAACAwAWUEAAAAAAAAAAAgNAFlBAAAAAAAAAAAJDgBZQQAAAAAAAAAACQ8AWUICAAAAAAAAAAoARABZQQAAAAAAAAAACwBEQFlBAAAAAAAAAAANAESAWUICAAAAAAAAAABEAETAWUEAAAAAAAAAAABEAEUAWUICAAAAAAAAAABEQEVAWUEAAAAAAAAAAABEQEWAWUICAAAAAAAAAABEwEXAWUEAAAAAAAAAAAoLAFlBAAAAAAAAAAAPAESAWUEAAAAAAAAAAABFAEWAWUEAAAAAAAAAAAAAAAA</t>
        </r>
      </text>
    </comment>
    <comment ref="A155" authorId="0" shapeId="0" xr:uid="{5420AF2D-254D-4218-8333-5FEED200C6A1}">
      <text>
        <r>
          <rPr>
            <sz val="9"/>
            <color indexed="81"/>
            <rFont val="Segoe UI"/>
            <charset val="1"/>
          </rPr>
          <t>Insight iXlW00001C0000155R0080105531S00000308P01648LAocjBAQBF1NjaVRlZ2ljLmRhdGEuTW9sZWN1bGUBbwF/ARJTY2lUZWdpYy5Nb2xlY3VsZQAAAQFkAv5qAQAAAAIAAgEWAREAAAD8/AD8AAIAAAAAAADwvwAAAAAAABgAAAD8/AD8AAIAAAAAAADwvwIPC7Wmecf0vwJ2cRsN4C3ovwAAAAAYAAAA/PwA/AACAAAAAAAA8L8C1zTvOEXHBMAC7Q2+MJkqiL8AAAAAGAAAAPz8APwAAgAAAAAAAPC/Ag8LtaZ5x/S/AgrXo3A9CgLAAAAAABwAAAD8/AD8AAIAAAAAAADwvwLXNO84RccEwAI+eVioNc33PwAAAAAYAAAA/PwA/AACAAAAAAAA8L8CX7pJDAIrD8ACrmnecYqO6L8AAAAAHAAAAPz8APwAAgAAAAAAAPC/Atc07zhFxwTAAmiz6nO1FQjAAAAAABgAAAD8/AD8AAIAAAAAAADwvwACWvW52or9B8AAAAAAJAAAAPz8APwAAgAAAAAAAPC/AvMf0m9fxxTAAu0NvjCZKoi/AAAAABgAAAD8/AD8AAIAAAAAAADwvwJfukkMAisPwAIYldQJaCICwAAAAAAgAAAA/PwA/AACAAAAAAAA8L8CDwu1pnnH9D8C/Rhz1xLyAcAAAAAAIAAAAPz8APwAAgAAAAAAAPC/AALnjCjtDf4RwAAAAAAYAAAA/PwA/AACAAAAAAAA8L8C8x/Sb1/HFMACdnEbDeAtCMAAAAAAGAAAAPz8APwAAgAAAAAAAPC/Ardif9k9+RnAAiZTBaOSOgLAAAAAABgAAAD8/AD8AAIAAAAAAADwvwLzH9JvX8cUwAL1SlmGOBYSwAAAAAAkAAAA/PwA/AACAAAAAAAA8L8Ct2J/2T35GcAC5WGh1jTv6L8AAAAAGAAAAPz8APwAAgAAAAAAAPC/Al+6SQwCKx/AAoQvTKYKRgjAAAAAABgAAAD8/AD8AAIAAAAAAADwvwK3Yn/ZPfkZwAIkufyH9BsVwAAAAAAgAAAA/PwA/AACAAAAAAAA8L8CkX77OnAuIsACNBE2PL1SAsAAAAAAGAAAAPz8APwAAgAAAAAAAPC/Al+6SQwCKx/AAvyp8dJNIhLAAAAAABgAAAD8/AD8AAIAAAAAAADwvwLzH9JvX8ckwAKS7Xw/NV4IwAAAAAABEQAAAPz8APwAAgAAAAAAAPC/ApF++zpwLiLAAisYldQJKBXAAAAAAAEXAAQBZQQAAAAAAAAAAAQIAWUICAAAAAAAAAAEDAFlBAAAAAAAAAAACBABZQQAAAAAAAAAAAgUAWUEAAAAAAAAAAAMGAFlCAgAAAAAAAAADBwBZQQAAAAAAAAAABQgAWUEAAAAAAAAAAAUJAFlCAwAAAAAAAAAHCgBZQgAAAAAAAAAABwsAWUEAAAAAAAAAAAkMAFlBAAAAAAAAAAAMDQBZQgIAAAAAAAAADA4AWUEAAAAAAAAAAA0PAFlBAAAAAAAAAAANAEQAWUEAAAAAAAAAAA4AREBZQgIAAAAAAAAAAEQARIBZQQAAAAAAAAAAAEQARMBZQgMAAAAAAAAAAESARQBZQQAAAAAAAAAAAETARUBZQQAAAAAAAAAABgkAWUEAAAAAAAAAAABEQETAWUEAAAAAAAAAAAAAAAA</t>
        </r>
      </text>
    </comment>
    <comment ref="A156" authorId="0" shapeId="0" xr:uid="{CE481D60-C2E4-4AC4-B724-8FCE2AC4F4EC}">
      <text>
        <r>
          <rPr>
            <sz val="9"/>
            <color indexed="81"/>
            <rFont val="Segoe UI"/>
            <charset val="1"/>
          </rPr>
          <t>Insight iXlW00001C0000156R0080105531S00000310P01980LAocjBAQBF1NjaVRlZ2ljLmRhdGEuTW9sZWN1bGUBbwF/ARJTY2lUZWdpYy5Nb2xlY3VsZQAAAQFkAv5qAQAAAAIAAgEbJAAAAPz8APwAAgAAAAAAAPC/AAAAAAAAGAAAAPz8APwAAgAAAAAAAPC/AifChqdXyvQ/Av7UeOkmMei/AAAAACQAAAD8/AD8AAIAAAAAAADwvwInwoanV8r0PwKx4emVsgwCwAAAAAAkAAAA/PwA/AACAAAAAAAA8L8AAuJYF7fRAPi/AAAAABgAAAD8/AD8AAIAAAAAAADwvwInwoanV8oEQAAAAAAAGAAAAPz8APwAAgAAAAAAAPC/AjojSnuDLw9AAv7UeOkmMei/AAAAABgAAAD8/AD8AAIAAAAAAADwvwInwoanV8oEQALiWBe30QD4PwAAAAAcAAAA/PwA/AACAAAAAAAA8L8CJ8KGp1fKFEAAAAAAABgAAAD8/AD8AAIAAAAAAADwvwI6I0p7gy8PQAKjI7n8h/QBQAAAAAAYAAAA/PwA/AACAAAAAAAA8L8CJ8KGp1fKFEAC4lgXt9EA+D8AAAAAIAAAAPz8APwAAgAAAAAAAPC/ArByaJHt/BlAAqMjufyH9AFAAAAAABgAAAD8/AD8AAIAAAAAAADwvwI6I0p7gy8fQALiWBe30QD4PwAAAAAYAAAA/PwA/AACAAAAAAAA8L8CVHQkl/8wIkACoyO5/If0AUAAAAAAGAAAAPz8APwAAgAAAAAAAPC/AjojSnuDLx9AAAAAAAAYAAAA/PwA/AACAAAAAAAA8L8CmUwVjErKJEAC4lgXt9EA+D8AAAAAGAAAAPz8APwAAgAAAAAAAPC/AlR0JJf/MCJAAv7UeOkmMei/AAAAABgAAAD8/AD8AAIAAAAAAADwvwKZTBWMSsokQAAAAAAAIAAAAPz8APwAAgAAAAAAAPC/At0kBoGVYydAAv7UeOkmMei/AAAAABgMAAD8/AD8AAIAAAAAAADwvwLdJAaBlWMnQAKx4emVsgwCwAAAAAAYAAAA/PwA/AACAAAAAAAA8L8CIv32deD8KUAC4lgXt9EACMAAAAAAGAAAAPz8APwAAgAAAAAAAPC/AplMFYxKyiRAAuJYF7fRAAjAAAAAACAAAAD8/AD8AAIAAAAAAADwvwJn1edqK5YsQAKx4emVsgwCwAAAAAAgAAAA/PwA/AACAAAAAAAA8L8CIv32deD8KUACqoJRSZ0AEsAAAAAAGAAAAPz8APwAAgAAAAAAAPC/AmfV52orlixAAkqdgCbCBhXAAAAAABgAAAD8/AD8AAIAAAAAAADwvwJn1edqK5YsQAKCc0aU9gYbwAAAAAAYAAAA/PwA/AACAAAAAAAA8L8CrK3YX3YvL0ACGy/dJAYBHsAAAAAAGAAAAPz8APwAAgAAAAAAAPC/Aqyt2F92Ly9AAqqCUUmdACLAAAAAAAEcAAQBZQQAAAAAAAAAAAQIAWUEAAAAAAAAAAAEDAFlBAAAAAAAAAAABBABZQQAAAAAAAAAABAUAWUIDAAAAAAAAAAQGAFlBAAAAAAAAAAAFBwBZQQAAAAAAAAAABggAWUICAAAAAAAAAAcJAFlCAwAAAAAAAAAJCgBZQQAAAAAAAAAACgsAWUEAAAAAAAAAAAsMAFlCAwAAAAAAAAALDQBZQQAAAAAAAAAADA4AWUEAAAAAAAAAAA0PAFlCAgAAAAAAAAAOAEQAWUIDAAAAAAAAAABEAERAWUEAAAAAAAAAAABEQESAWUEAAAAAAAAAAABEgETAWUEAAAAAAAAAAABEgEUAWUEFAAAAAAAAAABEwEVAWUIAAAAAAAAAAABEwEWAWUEAAAAAAAAAAABFgEXAWUEAAAAAAAAAAABFwEYAWUEAAAAAAAAAAABGAEZAWUEAAAAAAAAAAABGQEaAWUEAAAAAAAAAAAgJAFlBAAAAAAAAAAAPAEQAWUEAAAAAAAAAAAAAAAA</t>
        </r>
      </text>
    </comment>
    <comment ref="A157" authorId="0" shapeId="0" xr:uid="{B4FD84C8-152D-4DB6-8EFD-ECC57F264928}">
      <text>
        <r>
          <rPr>
            <sz val="9"/>
            <color indexed="81"/>
            <rFont val="Segoe UI"/>
            <charset val="1"/>
          </rPr>
          <t>Insight iXlW00001C0000157R0080105531S00000312P01956LAocjBAQBF1NjaVRlZ2ljLmRhdGEuTW9sZWN1bGUBbwF/ARJTY2lUZWdpYy5Nb2xlY3VsZQAAAQFkAv5qAQAAAAIAAgEbARAAAAD8/AD8AAIAAAAAAADwvwAAAAAAACAAAAD8/AD8AAIAAAAAAADwvwKYbhKDwMr0vwLgLZCg+DHoPwAAAAAgAAAA/PwA/AACAAAAAAAA8L8Cx9y1hHzQ5z8CmG4Sg8DK9D8AAAAAHAD8APz8APwAAgAAAAAAAPC/AphuEoPAyvQ/AsfctYR80Oe/AAAAABgAAAD8/AD8AAIAAAAAAADwvwLgLZCg+DHovwKYbhKDwMr0vwAAAAAYAAAA/PwA/AACAAAAAAAA8L8CX5hMFYzKBEAAAAAAABgAAAD8/AD8AAIAAAAAAADwvwIijnVxGw0CwAKYbhKDwMr0vwAAAAAYAAAA/PwA/AACAAAAAAAA8L8AAl+YTBWMygTAAAAAACAAAAD8/AD8AAIAAAAAAADwvwJfmEwVjMoEQAJTBaOSOgH4PwAAAAAcAAAA/PwA/AACAAAAAAAA8L8Cq8/VVuwvD0ACx9y1hHzQ578AAAAAIAAAAPz8APwAAgAAAAAAAPC/AlMFo5I6AQjAAAAAAAAYAAAA/PwA/AACAAAAAAAA8L8CUwWjkjoBCMACX5hMFYzKBMAAAAAAGAAAAPz8APwAAgAAAAAAAPC/AuAtkKD4Mei/AqvP1VbsLw/AAAAAABwAAAD8/AD8AAIAAAAAAADwvwJpke18PzUQQALNO07RkdwBwAAAAAAYAAAA/PwA/AACAAAAAAAA8L8CwqikTkATFUACHA3gLZCgwL8AAAAAGAAAAPz8APwAAgAAAAAAAPC/Av9D+u3rABLAAAAAAAAYAAAA/PwA/AACAAAAAAAA8L8CIo51cRsNAsACq8/VVuwvD8AAAAAAGAAAAPz8APwAAgAAAAAAAPC/Aqk1zTtOERZAAhriWBe3UQTAAAAAACAAAAD8/AD8AAIAAAAAAADwvwLLEMe6uE0WQALr4jYawFv1PwAAAAAcAAAA/PwA/AACAAAAAAAA8L8CSFD8GHMXGUACnFWfq63Y878AAAAAJAAAAPz8APwAAgAAAAAAAPC/ArtJDAIrBxXAAphuEoPAyvQ/AAAAACQAAAD8/AD8AAIAAAAAAADwvwK7SQwCKwcVwAKYbhKDwMr0vwAAAAAkAAAA/PwA/AACAAAAAAAA8L8CUwWjkjoBGMAAAAAAACAAAAD8/AD8AAIAAAAAAADwvwLZ8PRKWYYYQAK5jQbwFkgPwAAAAAAYAAAA/PwA/AACAAAAAAAA8L8ClrIMcawLH0ACT6+UZYhj8b8AAAAAGAAAAPz8APwAAgAAAAAAAPC/ArTqc7UV+xRAAjZeukkMghTAAAAAACwABAD8/AD8AAIAAAAAAADwvwK/DpwzorT5PwLYEvJBz+YCwAAAAAABGwAEAWUIAAAAAAAAAAAACAFlCAAAAAAAAAAAAAwBZQQAAAAAAAAAAAAQAWUEAAAAAAAAAAAMFAFlBAAAAAAAAAAAEBgBZQgIAAAAAAAAABAcAWUEAAAAAAAAAAAUIAFlCAAAAAAAAAAAFCQBZQQAAAAAAAAAABgoAWUEAAAAAAAAAAAYLAFlBAAAAAAAAAAAHDABZQgIAAAAAAAAACQ0AWUEAAAAAAAAAAAkOAFlBAAAAAAAAAAAKDwBZQQAAAAAAAAAACwBEAFlCAgAAAAAAAAANAERAWUIDAAAAAAAAAA4ARIBZQgAAAAAAAAAADgBEwFlBAAAAAAAAAAAPAEUAWUEAAAAAAAAAAA8ARUBZQQAAAAAAAAAADwBFgFlBAAAAAAAAAAAAREBFwFlBAAAAAAAAAAAARMBGAFlBAAAAAAAAAAAARcBGQFlBAAAAAAAAAAAMAEQAWUEAAAAAAAAAAABEQETAWUEAAAAAAAAAAAAAAAA</t>
        </r>
      </text>
    </comment>
    <comment ref="A158" authorId="0" shapeId="0" xr:uid="{F2AB3F7A-489B-4E3D-AE22-8A1F1CECDA8F}">
      <text>
        <r>
          <rPr>
            <sz val="9"/>
            <color indexed="81"/>
            <rFont val="Segoe UI"/>
            <charset val="1"/>
          </rPr>
          <t>Insight iXlW00001C0000158R0080105531S00000314P02440LAocjBAQBF1NjaVRlZ2ljLmRhdGEuTW9sZWN1bGUBbwF/ARJTY2lUZWdpYy5Nb2xlY3VsZQAAAQFkAv5qAQAAAAIAAgEhARAAAAD8/AD8AAIAAAAAAADwvwAAAAAAACAAAAD8/AD8AAIAAAAAAADwvwJ6xyk6ksv0vwKLjuTyH9LnPwAAAAAgAAAA/PwA/AACAAAAAAAA8L8Ci47k8h/S5z8CescpOpLL9D8AAAAAHAAAAPz8APwAAgAAAAAAAPC/AnrHKTqSy/Q/AouO5PIf0ue/AAAAABgAAAD8/AD8AAIAAAAAAADwvwKLjuTyH9LnvwJ6xyk6ksv0vwAAAAAYAAAA/PwA/AACAAAAAAAA8L8CQfFjzF3LBEAAAAAAABgAAAD8/AD8AAIAAAAAAADwvwK9UpYhjvUBwAJ6xyk6ksv0vwAAAAAYAAAA/PwA/AACAAAAAAAA8L8C7Q2+MJkqiD8CQfFjzF3LBMAAAAAAIAAAAPz8APwAAgAAAAAAAPC/AkHxY8xdywRAAjZeukkMAvg/AAAAABwAAAD8/AD8AAIAAAAAAADwvwL+1HjpJjEPQAKLjuTyH9LnvwAAAAAcAAAA/PwA/AACAAAAAAAA8L8CKKCJsOHpB8ACQfFjzF3LBMAAAAAAGAAAAPz8APwAAgAAAAAAAPC/Am40gLdAAgjAAAAAAAAYAAAA/PwA/AACAAAAAAAA8L8CcT0K16Nw578C/tR46SYxD8AAAAAAGAAAAPz8APwAAgAAAAAAAPC/Al7cRgN4yxRAAu0NvjCZKog/AAAAABgAAAD8/AD8AAIAAAAAAADwvwKwlGWIY90BwAL+1HjpJjEPwAAAAAAgAAAA/PwA/AACAAAAAAAA8L8CyxDHurgNAsACescpOpLL9D8AAAAAGAAAAPz8APwAAgAAAAAAAPC/AsSxLm6jARLAAAAAAAAcAAAA/PwA/AACAAAAAAAA8L8CXtxGA3jLFEACUdobfGEy+D8AAAAAHAAAAPz8APwAAgAAAAAAAPC/AjxO0ZFc/hlAAnE9CtejcOe/AAAAABgAAAD8/AD8AAIAAAAAAADwvwJ88rBQaxoIwAJB8WPMXcsEQAAAAAAkAAAA/PwA/AACAAAAAAAA8L8CnaIjufwHFcACescpOpLL9D8AAAAAGAAAAPz8APwAAgAAAAAAAPC/AnpYqDXN+xTAAnrHKTqSy/S/AAAAABgAAAD8/AD8AAIAAAAAAADwvwI8TtGRXP4ZQALZzvdT4yUCQAAAAAAYAAAA/PwA/AACAAAAAAAA8L8C/tR46SYxH0AC7Q2+MJkqmD8AAAAAIAAAAPz8APwAAgAAAAAAAPC/AssQx7q4DRLAAkHxY8xdywRAAAAAABgAAAD8/AD8AAIAAAAAAADwvwLZzvdT4yUCwAL+1HjpJjEPQAAAAAAgAAAA/PwA/AACAAAAAAAA8L8CPE7RkVz+GUAC9P3UeOkmDkAAAAAAGAAAAPz8APwAAgAAAAAAAPC/Av7UeOkmMR9AAt4CCYofY/g/AAAAACAAAAD8/AD8AAIAAAAAAADwvwJuowG8BTIiQAI5RUdy+Q/nvwAAAAAgAAAA/PwA/AACAAAAAAAA8L8CirDh6ZUyCMACXtxGA3jLFEAAAAAAGAAAAPz8APwAAgAAAAAAAPC/Al7cRgN4yxRAAssQx7q4DRJAAAAAABgAAAD8/AD8AAIAAAAAAADwvwKe76fGS9chQAJbQj7o2awBwAAAAAAYAAAA/PwA/AACAAAAAAAA8L8C54wo7Q0+AsACPE7RkVz+GUAAAAAAASIABAFlCAAAAAAAAAAAAAgBZQgAAAAAAAAAAAAMAWUEAAAAAAAAAAAAEAFlBAAAAAAAAAAADBQBZQQAAAAAAAAAABAYAWUIDAAAAAAAAAAQHAFlBAAAAAAAAAAAFCABZQgAAAAAAAAAABQkAWUEAAAAAAAAAAAYKAFlBAAAAAAAAAAAGCwBZQQAAAAAAAAAABwwAWUICAAAAAAAAAAkNAFlBAAAAAAAAAAAKDgBZQgIAAAAAAAAACw8AWUEAAAAAAAAAAAsARABZQQAAAAAAAAAADQBEQFlCAwAAAAAAAAANAESAWUEAAAAAAAAAAA8ARMBZQQAAAAAAAAAAAEQARQBZQQAAAAAAAAAAAEQARUBZQQAAAAAAAAAAAERARYBZQQAAAAAAAAAAAESARcBZQgMAAAAAAAAAAETARgBZQgAAAAAAAAAAAETARkBZQQAAAAAAAAAAAEWARoBZQQAAAAAAAAAAAEWARsBZQgIAAAAAAAAAAEXARwBZQQAAAAAAAAAAAEZAR0BZQQAAAAAAAAAAAEaAR4BZQQAAAAAAAAAAAEcAR8BZQQAAAAAAAAAAAEdASABZQQAAAAAAAAAADA4AWUEAAAAAAAAAAABFwEbAWUEAAAAAAAAAAAAAAAA</t>
        </r>
      </text>
    </comment>
    <comment ref="A159" authorId="0" shapeId="0" xr:uid="{227B52E0-8038-4364-9B4C-D74BBC63C661}">
      <text>
        <r>
          <rPr>
            <sz val="9"/>
            <color indexed="81"/>
            <rFont val="Segoe UI"/>
            <charset val="1"/>
          </rPr>
          <t>Insight iXlW00001C0000159R0080105531S00000316P01712LAocjBAQBF1NjaVRlZ2ljLmRhdGEuTW9sZWN1bGUBbwF/ARJTY2lUZWdpYy5Nb2xlY3VsZQAAAQFkAv5qAQAAAAIAAgEXAREAAAD8/AD8AAIAAAAAAADwvwAAAAAAABgAAAD8/AD8AAIAAAAAAADwvwI0orQ3+ML0vwLImLuWkA/ovwAAAAAYAAAA/PwA/AACAAAAAAAA8L8CtTf4wmSqBMAAAAAAABwAAAD8/AD8AAIAAAAAAADwvwIXSFD8GPMOwAKmm8QgsHLovwAAAAAYAAAA/PwA/AACAAAAAAAA8L8CPSzUmuadFMACgbdAguLHiL8AAAAAGAAAAPz8APwAAgAAAAAAAPC/AobJVMGoJA/AApayDHGsCwLAAAAAABgAAAD8/AD8AAIAAAAAAADwvwJpAG+BBIUUwALqlbIMcaz3PwAAAAAYAAAA/PwA/AACAAAAAAAA8L8CbjSAt0DCGcACIv32deCc6b8AAAAAGAAAAPz8APwAAgAAAAAAAPC/AiS5/If02wTAAhFYObTI9gfAAAAAABwABAD8/AD8AAIAAAAAAADwvwJw8IXJVMEOwAKWsgxxrAsCQAAAAAAYAAAA/PwA/AACAAAAAAAA8L8Ct/P91HipGcACNxrAWyDBAUAAAAAAHAAEAPz8APwAAgAAAAAAAPC/AkJg5dAi2xnAAvVKWYY4VgLAAAAAABgAAAD8/AD8AAIAAAAAAADwvwKfPCzUmuYewAKiRbbz/dSovwAAAAAYAAAA/PwA/AACAAAAAAAA8L8CJLn8h/TbBMACOpLLf0j/EcAAAAAAIAAAAPz8APwAAgAAAAAAAPC/AhdIUPwY8w7AAlkXt9EAXg5AAAAAACAA/AD8/AD8AAIAAAAAAADwvwIN4C2QoHgEwAI3GsBbIEH4PwAAAAAYAAAA/PwA/AACAAAAAAAA8L8C6Pup8dLNHsACLGUZ4lgX9z8AAAAAIAAAAPz8APwAAgAAAAAAAPC/Av7UeOkmMR/AAicxCKwcWgjAAAAAACAA/AD8/AD8AAIAAAAAAADwvwIRWDm0yLYUwAInMQisHFoIwAAAAAAYAAAA/PwA/AACAAAAAAAA8L8CDQIrhxb5IcACEVg5tMh2AUAAAAAAJAAAAPz8APwAAgAAAAAAAPC/AiNseHql7CHAAoUNT6+UZQ1AAAAAACQAAAD8/AD8AAIAAAAAAADwvwJrvHSTGKQkwAIsZRniWBf3PwAAAAAkAAAA/PwA/AACAAAAAAAA8L8Ca7x0kxikJMACsr/snjysB0AAAAAAARcABAFlBAAAAAAAAAAABAgBZQQAAAAAAAAAAAgMAWUEAAAAAAAAAAAMEAFlBAAAAAAAAAAADBQBZQQAAAAAAAAAABAYAWUICAAAAAAAAAAQHAFlBAAAAAAAAAAAFCABZQQAAAAAAAAAABgkAWUEAAAAAAAAAAAYKAFlBAAAAAAAAAAAHCwBZQQAAAAAAAAAABwwAWUICAAAAAAAAAAgNAFlBAAAAAAAAAAAJDgBZQgAAAAAAAAAACQ8AWUEAAAAAAAAAAAoARABZQgMAAAAAAAAACwBEQFlCAAAAAAAAAAALAESAWUEAAAAAAAAAAABEAETAWUEAAAAAAAAAAABEwEUAWUEAAAAAAAAAAABEwEVAWUEAAAAAAAAAAABEwEWAWUEAAAAAAAAAAAwARABZQQAAAAAAAAAAAAAAAA=</t>
        </r>
      </text>
    </comment>
    <comment ref="A160" authorId="0" shapeId="0" xr:uid="{3FEB8AEB-71ED-4FE2-867C-B7BFC2017C13}">
      <text>
        <r>
          <rPr>
            <sz val="9"/>
            <color indexed="81"/>
            <rFont val="Segoe UI"/>
            <charset val="1"/>
          </rPr>
          <t>Insight iXlW00001C0000160R0080105531S00000318P01812LAocjBAQBF1NjaVRlZ2ljLmRhdGEuTW9sZWN1bGUBbwF/ARJTY2lUZWdpYy5Nb2xlY3VsZQAAAQFkAv5qAQAAAAIAAgEYARAAAAD8/AD8AAIAAAAAAADwvwAAAAAAABgAAAD8/AD8AAIAAAAAAADwvwJiMlUwKqnDvwKLjuTyH9L3PwAAAAAYAAAA/PwA/AACAAAAAAAA8L8C4umVsgxx9z8CYjJVMCqp078AAAAAIAAAAPz8APwAAgAAAAAAAPC/AsZtNIC3QPe/Ar1SliGO9QFAAAAAABwAAAD8/AD8AAIAAAAAAADwvwJGtvP91HjzPwLek4eFWtMAQAAAAAAcAAAA/PwA/AACAAAAAAAA8L8ClBgEVg6tAUACw/UoXI/C7z8AAAAAGAAAAPz8APwAAgAAAAAAAPC/AolBYOXQogBAAiupE9BE2Pq/AAAAABgAAAD8/AD8AAIAAAAAAADwvwKgGi/dJAYGwAKLjuTyH9L3PwAAAAAkAAAA/PwA/AACAAAAAAAA8L8Cz4jS3uCLDEACd08eFmpN/b8AAAAAJAAAAPz8APwAAgAAAAAAAPC/Ag6+MJkqGPM/ArivA+eMKAfAAAAAACQAAAD8/AD8AAIAAAAAAADwvwIijnVxG40FQALeAgmKH2MIwAAAAAAYAAAA/PwA/AACAAAAAAAA8L8CL/8h/fY1EMACsJRliGPdAUAAAAAAIAAAAPz8APwAAgAAAAAAAPC/Ai//If32NRDAAgOaCBue3g1AAAAAABwAAAD8/AD8AAIAAAAAAADwvwINcayL22gVwAL+ZffkYaH3PwAAAAAYAAAA/PwA/AACAAAAAAAA8L8C6+I2GsCbGsACotY07zjFAUAAAAAAGAAAAPz8APwAAgAAAAAAAPC/Ag1xrIvbaBXAAu0NvjCZKpi/AAAAABgAAAD8/AD8AAIAAAAAAADwvwLKVMGopM4fwALi6ZWyDHH3PwAAAAAYAAAA/PwA/AACAAAAAAAA8L8C6+I2GsCbGsAC9dvXgXPGDUAAAAAAGAAAAPz8APwAAgAAAAAAAPC/Ai//If32NRDAAvp+arx0k+i/AAAAABgAAAD8/AD8AAIAAAAAAADwvwLr4jYawJsawAIydy0hH/TovwAAAAAYAAAA/PwA/AACAAAAAAAA8L8CVOOlm8SAIsAClBgEVg6tAUAAAAAAGAAAAPz8APwAAgAAAAAAAPC/AspUwaikzh/AAsx/SL993RFAAAAAABgAAAD8/AD8AAIAAAAAAADwvwJU46WbxIAiwALnHafoSK4NQAAAAAAkAAAA/PwA/AACAAAAAAAA8L8CQxzr4jYaJcACqTXNO07REUAAAAAAARkABAFlBAAAAAAAAAAAAAgBZQQAAAAAAAAAAAQMAWUEAAAAAAAAAAAEEAFlCAgAAAAAAAAACBQBZQgIAAAAAAAAAAgYAWUEAAAAAAAAAAAMHAFlBAAAAAAAAAAAGCABZQQAAAAAAAAAABgkAWUEAAAAAAAAAAAYKAFlBAAAAAAAAAAAHCwBZQQAAAAAAAAAACwwAWUIAAAAAAAAAAAsNAFlBAAAAAAAAAAANDgBZQQAAAAAAAAAADQ8AWUEAAAAAAAAAAA4ARABZQgMAAAAAAAAADgBEQFlBAAAAAAAAAAAPAESAWUEAAAAAAAAAAA8ARMBZQQAAAAAAAAAAAEQARQBZQQAAAAAAAAAAAERARUBZQgIAAAAAAAAAAEUARYBZQgMAAAAAAAAAAEWARcBZQQAAAAAAAAAABAUAWUEAAAAAAAAAAABFQEWAWUEAAAAAAAAAAAAAAAA</t>
        </r>
      </text>
    </comment>
    <comment ref="A161" authorId="0" shapeId="0" xr:uid="{A3942866-2DAB-40DE-AD76-DD20A1819C76}">
      <text>
        <r>
          <rPr>
            <sz val="9"/>
            <color indexed="81"/>
            <rFont val="Segoe UI"/>
            <charset val="1"/>
          </rPr>
          <t>Insight iXlW00001C0000161R0080105531S00000320P01624LAocjBAQBF1NjaVRlZ2ljLmRhdGEuTW9sZWN1bGUBbwF/ARJTY2lUZWdpYy5Nb2xlY3VsZQAAAQFkAv5qAQAAAAIAAgEWARAAAAD8/AD8AAIAAAAAAADwvwAAAAAAACAAAAD8/AD8AAIAAAAAAADwvwACtOpztRX79z8AAAAAIAAAAPz8APwAAgAAAAAAAPC/ArTqc7UV+/e/AAAAAAAcAAAA/PwA/AACAAAAAAAA8L8AArTqc7UV+/e/AAAAABgAAAD8/AD8AAIAAAAAAADwvwK06nO1Ffv3PwAAAAAAGAAAAPz8APwAAgAAAAAAAPC/Atqs+lxtxfS/AgCRfvs68AHAAAAAABwAAAD8/AD8AAIAAAAAAADwvwKneccpOhIDQAKmm8QgsHLzPwAAAAAcAAAA/PwA/AACAAAAAAAA8L8Cp3nHKToSA0ACppvEILBy878AAAAAGAAAAPz8APwAAgAAAAAAAPC/Atqs+lxtxfS/AiGwcmiR7Q3AAAAAABgAAAD8/AD8AAIAAAAAAADwvwKi1jTvOMUEwAK06nO1Ffv3vwAAAAAcAAAA/PwA/AACAAAAAAAA8L8CrfpcbcV+DkAC0GbV52or6D8AAAAAGAAAAPz8APwAAgAAAAAAAPC/Aq36XG3Ffg5AAtBm1edqK+i/AAAAACQAAAD8/AD8AAIAAAAAAADwvwAC6wQ0ETb8EcAAAAAAGAAAAPz8APwAAgAAAAAAAPC/AqLWNO84xQTAAuSlm8Qg8BHAAAAAACQAAAD8/AD8AAIAAAAAAADwvwKi1jTvOMUEwAAAAAAAGAAAAPz8APwAAgAAAAAAAPC/Ag8tsp3vJw/AAgCRfvs68AHAAAAAABgAAAD8/AD8AAIAAAAAAADwvwJxPQrXo3AUQAK06nO1Ffv3PwAAAAAcAAAA/PwA/AACAAAAAAAA8L8CcT0K16NwFEAC0GbV52or+L8AAAAAGAAAAPz8APwAAgAAAAAAAPC/Ag8tsp3vJw/AAiGwcmiR7Q3AAAAAABgAAAD8/AD8AAIAAAAAAADwvwKn6Egu/6EZQAKYbhKDwMrnPwAAAAAYAAAA/PwA/AACAAAAAAAA8L8Cp+hILv+hGUACB1+YTBWM6L8AAAAAGAAAAPz8APwAAgAAAAAAAPC/AsKopE5A0x5AAuviNhrAW/i/AAAAAAEYAAQBZQgAAAAAAAAAAAAIAWUIAAAAAAAAAAAADAFlBAAAAAAAAAAAABABZQQAAAAAAAAAAAwUAWUEAAAAAAAAAAAQGAFlCAwAAAAAAAAAEBwBZQQAAAAAAAAAABQgAWUICAAAAAAAAAAUJAFlBAAAAAAAAAAAGCgBZQQAAAAAAAAAABwsAWUIDAAAAAAAAAAgMAFlBAAAAAAAAAAAIDQBZQQAAAAAAAAAACQ4AWUEAAAAAAAAAAAkPAFlCAgAAAAAAAAAKAEQAWUEAAAAAAAAAAAsAREBZQQAAAAAAAAAADQBEgFlCAgAAAAAAAAAARABEwFlCAgAAAAAAAAAAREBFAFlCAwAAAAAAAAAARQBFQFlBAAAAAAAAAAAKCwBZQQAAAAAAAAAADwBEgFlBAAAAAAAAAAAARMBFAFlBAAAAAAAAAAAAAAAAA==</t>
        </r>
      </text>
    </comment>
    <comment ref="A162" authorId="0" shapeId="0" xr:uid="{BA6BA795-C180-4518-A2A8-CA20EB739F31}">
      <text>
        <r>
          <rPr>
            <sz val="9"/>
            <color indexed="81"/>
            <rFont val="Segoe UI"/>
            <charset val="1"/>
          </rPr>
          <t>Insight iXlW00001C0000162R0080105531S00000322P02176LAocjBAQBF1NjaVRlZ2ljLmRhdGEuTW9sZWN1bGUBbwF/ARJTY2lUZWdpYy5Nb2xlY3VsZQAAAQFkAv5qAQAAAAIAAgEdAREAAAD8/AD8AAIAAAAAAADwvwAAAAAAABgAAAD8/AD8AAIAAAAAAADwvwKYbhKDwMr0vwLgLZCg+DHovwAAAAAYAAAA/PwA/AACAAAAAAAA8L8CmG4Sg8DK9L8CIo51cRsNAsAAAAAAGAAAAPz8APwAAgAAAAAAAPC/AphuEoPAygTAAu0NvjCZKoi/AAAAACAAAAD8/AD8AAIAAAAAAADwvwACjNtoAG8BCMAAAAAAGAAAAPz8APwAAgAAAAAAAPC/AphuEoPAygTAApqZmZmZGQjAAAAAABgAAAD8/AD8AAIAAAAAAADwvwLkpZvEIDAPwAIYJlMFo5LovwAAAAAYAAAA/PwA/AACAAAAAAAA8L8AAhsv3SQGARLAAAAAABgAAAD8/AD8AAIAAAAAAADwvwLkpZvEIDAPwAIwTKYKRiUCwAAAAAAkAAAA/PwA/AACAAAAAAAA8L8CmG4Sg8DKFMAC7Q2+MJkqiL8AAAAAGAAAAPz8APwAAgAAAAAAAPC/AphuEoPAyvQ/AtDVVuwv+xTAAAAAABwAAAD8/AD8AAIAAAAAAADwvwKYbhKDwMoUwAKoV8oyxDEIwAAAAAAgAAAA/PwA/AACAAAAAAAA8L8CmG4Sg8DKBEACFNBE2PD0EcAAAAAAIAAAAPz8APwAAgAAAAAAAPC/AphuEoPAyvQ/AiWX/5B++xrAAAAAABgAAAD8/AD8AAIAAAAAAADwvwIrGJXUCWgVwAIijnVxGw0SwAAAAAAYAAAA/PwA/AACAAAAAAAA8L8ChC9MpgpGGsACSOF6FK5HA8AAAAAAGAAAAPz8APwAAgAAAAAAAPC/AphuEoPAygRAAr5SliGO9R3AAAAAACAAAAD8/AD8AAIAAAAAAADwvwItQxzr4vYQwALFILByaBEWwAAAAAAYAAAA/PwA/AACAAAAAAAA8L8Ca7x0kxhEG8ACSOF6FK5HE8AAAAAAIAAAAPz8APwAAgAAAAAAAPC/Ao6XbhKDgBvAAiBj7lpCPu6/AAAAABgAAAD8/AD8AAIAAAAAAADwvwIL16NwPUoewAJEi2zn+ykMwAAAAAAYAAAA/PwA/AACAAAAAAAA8L8CmG4Sg8DKBEACl/+Qfvv6IcAAAAAAGAAAAPz8APwAAgAAAAAAAPC/AgR4CyQoPh7AAu58PzVeehjAAAAAABgAAAD8/AD8AAIAAAAAAADwvwK+wRcmUyUiwAJEi2zn+ykMwAAAAAAYAAAA/PwA/AACAAAAAAAA8L8C5KWbxCAwD0ACdQKaCBt+I8AAAAAAGAAAAPz8APwAAgAAAAAAAPC/AjqSy39IHyLAAu58PzVeehjAAAAAABgAAAD8/AD8AAIAAAAAAADwvwKKH2PuWqIjwAJI4XoUrkcTwAAAAAAYAAAA/PwA/AACAAAAAAAA8L8C5KWbxCAwD0ACIGPuWkJ+JsAAAAAAGAAAAPz8APwAAgAAAAAAAPC/AphuEoPAyhRAAuzAOSNK+yfAAAAAAAEfAAQBZQQAAAAAAAAAAAQIAWUICAAAAAAAAAAEDAFlBAAAAAAAAAAACBABZQQAAAAAAAAAAAgUAWUEAAAAAAAAAAAMGAFlCAwAAAAAAAAAEBwBZQQAAAAAAAAAABQgAWUIDAAAAAAAAAAYJAFlBAAAAAAAAAAAHCgBZQQAAAAAAAAAACAsAWUEAAAAAAAAAAAoMAFlCAAAAAAAAAAAKDQBZQQAAAAAAAAAACw4AWUEAAAAAAAAAAAsPAFlBAAAAAAAAAAANAEQAWUEAAAAAAAAAAA4AREBZQgAAAAAAAAAADgBEgFlBAAAAAAAAAAAPAETAWUIAAAAAAAAAAA8ARQBZQQAAAAAAAAAAAEQARUBZQQAAAAAAAAAAAESARYBZQQAAAAAAAAAAAEUARcBZQQAAAAAAAAAAAEVARgBZQQAAAAAAAAAAAEWARkBZQQAAAAAAAAAAAEXARoBZQQAAAAAAAAAAAEYARsBZQQAAAAAAAAAAAEbARwBZQQAAAAAAAAAABggAWUEAAAAAAAAAAABEgEUAWUICAAAAAAAAAABGQEaAWUEAAAAAAAAAAAAAAAA</t>
        </r>
      </text>
    </comment>
    <comment ref="A163" authorId="0" shapeId="0" xr:uid="{9CC189A7-F713-48B9-B85E-AD8C96403442}">
      <text>
        <r>
          <rPr>
            <sz val="9"/>
            <color indexed="81"/>
            <rFont val="Segoe UI"/>
            <charset val="1"/>
          </rPr>
          <t>Insight iXlW00001C0000163R0080105531S00000324P01972LAocjBAQBF1NjaVRlZ2ljLmRhdGEuTW9sZWN1bGUBbwF/ARJTY2lUZWdpYy5Nb2xlY3VsZQAAAQFkAv5qAQAAAAIAAgEaJAAAAPz8APwAAgAAAAAAAPC/AAAAAAAAGAAAAPz8APwAAgAAAAAAAPC/AoenV8oyxPQ/Au0NvjCZKui/AAAAABgAAAD8/AD8AAIAAAAAAADwvwKHp1fKMsT0PwIs9pfdkwcCwAAAAAAYAAAA/PwA/AACAAAAAAAA8L8CwH0dOGfEBEAC7Q2+MJkqiL8AAAAAHAAAAPz8APwAAgAAAAAAAPC/AAJvowG8BRIIwAAAAAAYAAAA/PwA/AACAAAAAAAA8L8CwH0dOGfEBEACb6MBvAUSCMAAAAAAGAAAAPz8APwAAgAAAAAAAPC/AoNRSZ2AJg9AAu0NvjCZKui/AAAAABgAAAD8/AD8AAIAAAAAAADwvwIukKD4Meb1vwLT3uALkykDwAAAAAAYAAAA/PwA/AACAAAAAAAA8L8CUWuad5yiw78CJZf/kH77EcAAAAAAGAAAAPz8APwAAgAAAAAAAPC/AoNRSZ2AJg9AAjq0yHa+HwLAAAAAACAAAAD8/AD8AAIAAAAAAADwvwKjkjoBTcQUQAAAAAAAIAAAAPz8APwAAgAAAAAAAPC/AgIrhxbZzvq/AjGZKhiV1O2/AAAAABgAAAD8/AD8AAIAAAAAAADwvwK3Yn/ZPfkCwAK30QDeAgkMwAAAAAAgAAAA/PwA/AACAAAAAAAA8L8CvjCZKhiV7j8CWDm0yHb+FcAAAAAAGAAAAPz8APwAAgAAAAAAAPC/Ane+nxov3fm/Ar1SliGONRPAAAAAABwAAAD8/AD8AAIAAAAAAADwvwKjkjoBTcQUQAJ8YTJVMCoIwAAAAAAYAAAA/PwA/AACAAAAAAAA8L8CoWez6nP1GUAC7Q2+MJkq6L8AAAAAGAAAAPz8APwAAgAAAAAAAPC/AmfV52or9g7AArfRAN4CCQzAAAAAABgAAAD8/AD8AAIAAAAAAADwvwKppE5AE+ECwAK8Jw8LtWYYwAAAAAAYAAAA/PwA/AACAAAAAAAA8L8CoWez6nP1GUACSHL5D+k3AsAAAAAAGAAAAPz8APwAAgAAAAAAAPC/AqOSOgFNxBRAAjNVMCqpExLAAAAAABgAAAD8/AD8AAIAAAAAAADwvwJxrIvbaIASwAK9UpYhjjUTwAAAAAAYAAAA/PwA/AACAAAAAAAA8L8CWRe30QDeDsACvCcPC7VmGMAAAAAAIAAAAPz8APwAAgAAAAAAAPC/AoNRSZ2AJh9AAnxhMlUwKgjAAAAAABgAAAD8/AD8AAIAAAAAAADwvwKhZ7Pqc/UZQALUK2UZ4hgVwAAAAAAYAAAA/PwA/AACAAAAAAAA8L8Cg1FJnYAmH0ACku18PzUeGMAAAAAAAR0ABAFlBAAAAAAAAAAABAgBZQgIAAAAAAAAAAQMAWUEAAAAAAAAAAAIEAFlBAAAAAAAAAAACBQBZQQAAAAAAAAAAAwYAWUIDAAAAAAAAAAQHAFlBAAAAAAAAAAAECABZQQAAAAAAAAAABQkAWUIDAAAAAAAAAAYKAFlBAAAAAAAAAAAHCwBZQgAAAAAAAAAABwwAWUEAAAAAAAAAAAgNAFlCAAAAAAAAAAAIDgBZQQAAAAAAAAAACQ8AWUEAAAAAAAAAAAoARABZQQAAAAAAAAAADABEQFlBAAAAAAAAAAAOAESAWUEAAAAAAAAAAA8ARMBZQQAAAAAAAAAADwBFAFlBAAAAAAAAAAAAREBFQFlBAAAAAAAAAAAARIBFgFlBAAAAAAAAAAAARMBFwFlCAAAAAAAAAAAARQBGAFlBAAAAAAAAAAAARgBGQFlDAAAAAAAAAAAGCQBZQQAAAAAAAAAADA4AWUICAAAAAAAAAABEAETAWUEAAAAAAAAAAABFQEWAWUEAAAAAAAAAAAAAAAA</t>
        </r>
      </text>
    </comment>
    <comment ref="A164" authorId="0" shapeId="0" xr:uid="{4E4E6FE8-B339-424B-B9E2-3809CCD5C325}">
      <text>
        <r>
          <rPr>
            <sz val="9"/>
            <color indexed="81"/>
            <rFont val="Segoe UI"/>
            <charset val="1"/>
          </rPr>
          <t>Insight iXlW00001C0000164R0080105531S00000326P01832LAocjBAQBF1NjaVRlZ2ljLmRhdGEuTW9sZWN1bGUBbwF/ARJTY2lUZWdpYy5Nb2xlY3VsZQAAAQFkAv5qAQAAAAIAAgEYAREAAAD8/AD8AAIAAAAAAADwvwAAAAAAABgAAAD8/AD8AAIAAAAAAADwvwJuxf6ye/L0vwIi/fZ14JznvwAAAAAYAAAA/PwA/AACAAAAAAAA8L8C++3rwDkj9b8CWag1zTvOAcAAAAAAGAAAAPz8APwAAgAAAAAAAPC/AqabxCCw8gTAAnRGlPYGX4g/AAAAACAAAAD8/AD8AAIAAAAAAADwvwLXNO84RUeivwLo+6nx0s0HwAAAAAAYAAAA/PwA/AACAAAAAAAA8L8C7S+7Jw8LBcAC6Pup8dLNB8AAAAAAGAAAAPz8APwAAgAAAAAAAPC/Al3+Q/rtaw/AAgmsHFpkO+e/AAAAABgMAAD8/AD8AAIAAAAAAADwvwJ0RpT2Bl+ovwJ88rBQa9oRwAAAAAAYAAAA/PwA/AACAAAAAAAA8L8Co5I6AU2ED8ACWag1zTvOAcAAAAAAJAAAAPz8APwAAgAAAAAAAPC/AqabxCCw8hTAAnRGlPYGX5g/AAAAABgAAAD8/AD8AAIAAAAAAADwvwIg0m9fB87zPwJgB84ZUdoUwAAAAAAYAAAA/PwA/AACAAAAAAAA8L8CoWez6nO19b8CYAfOGVHaFMAAAAAAHAAAAPz8APwAAgAAAAAAAPC/AsnlP6Tf/hTAAuj7qfHSzQfAAAAAABgAAAD8/AD8AAIAAAAAAADwvwJz+Q/pty8EQAInMQisHNoXwAAAAAAYAAAA/PwA/AACAAAAAAAA8L8Ct/P91HipFcACWag1zTvOEcAAAAAAGAAAAPz8APwAAgAAAAAAAPC/AvhT46WbhBrAAhlz1xLywQLAAAAAACAAAAD8/AD8AAIAAAAAAADwvwLVeOkmMUgRwAL9h/Tb18EVwAAAAAAYAAAA/PwA/AACAAAAAAAA8L8CG55eKcuQG8AC5tAi2/n+EsAAAAAAIAAAAPz8APwAAgAAAAAAAPC/AswQx7q4zRvAAiDSb18Hzuu/AAAAABgAAAD8/AD8AAIAAAAAAADwvwLjx5i7lpAewALcaABvgYQLwAAAAAAYAAAA/PwA/AACAAAAAAAA8L8C48eYu5aQHsAC++3rwDkjGMAAAAAAGAAAAPz8APwAAgAAAAAAAPC/AlmoNc07TiLAApXUCWgibAvAAAAAABgAAAD8/AD8AAIAAAAAAADwvwJZqDXNO04iwALXo3A9ChcYwAAAAAAYAAAA/PwA/AACAAAAAAAA8L8CPL1SliHOI8ACfPKwUGvaEsAAAAAAARoABAFlBAAAAAAAAAAABAgBZQgIAAAAAAAAAAQMAWUEAAAAAAAAAAAIEAFlBAAAAAAAAAAACBQBZQQAAAAAAAAAAAwYAWUIDAAAAAAAAAAQHAFlBAAAAAAAAAAAFCABZQgMAAAAAAAAABgkAWUEAAAAAAAAAAAcKAFlBAAAAAAAAAAAHCwBZQQUAAAAAAAAACAwAWUEAAAAAAAAAAAoNAFlDAAAAAAAAAAAMDgBZQQAAAAAAAAAADA8AWUEAAAAAAAAAAA4ARABZQgAAAAAAAAAADgBEQFlBAAAAAAAAAAAPAESAWUIAAAAAAAAAAA8ARMBZQQAAAAAAAAAAAERARQBZQQAAAAAAAAAAAETARUBZQQAAAAAAAAAAAEUARYBZQQAAAAAAAAAAAEVARcBZQQAAAAAAAAAABggAWUEAAAAAAAAAAABEQETAWUICAAAAAAAAAABFgEXAWUEAAAAAAAAAAAAAAAA</t>
        </r>
      </text>
    </comment>
    <comment ref="A165" authorId="0" shapeId="0" xr:uid="{8765D3BE-A2BD-47A7-9B27-50E4234CC383}">
      <text>
        <r>
          <rPr>
            <sz val="9"/>
            <color indexed="81"/>
            <rFont val="Segoe UI"/>
            <charset val="1"/>
          </rPr>
          <t>Insight iXlW00001C0000165R0080105531S00000328P01188LAocjBAQBF1NjaVRlZ2ljLmRhdGEuTW9sZWN1bGUBbwF/ARJTY2lUZWdpYy5Nb2xlY3VsZQAAAQFkAv5qAQAAAAIAAgEQJAAAAPz8APwAAgAAAAAAAPC/AAAAAAAAGAAAAPz8APwAAgAAAAAAAPC/AAKJY13cRgP4PwAAAAAkAAAA/PwA/AACAAAAAAAA8L8CXCBB8WPM9L8CoKut2F/2AUAAAAAAJAAAAPz8APwAAgAAAAAAAPC/AlwgQfFjzPS/Am3n+6nx0uc/AAAAABgAAAD8/AD8AAIAAAAAAADwvwJcIEHxY8z0PwKgq63YX/YBQAAAAAAYAAAA/PwA/AACAAAAAAAA8L8CXCBB8WPMBEACiWNd3EYD+D8AAAAAGAAAAPz8APwAAgAAAAAAAPC/AlwgQfFjzPQ/AmRd3EYD+A1AAAAAABgAAAD8/AD8AAIAAAAAAADwvwLDhqdXyjIPQAKgq63YX/YBQAAAAAAYAAAA/PwA/AACAAAAAAAA8L8CXCBB8WPMBEACpwpGJXUCEkAAAAAAHAAAAPz8APwAAgAAAAAAAPC/AngLJCh+zBRAAoljXdxGA/g/AAAAABgAAAD8/AD8AAIAAAAAAADwvwLDhqdXyjIPQAJkXdxGA/gNQAAAAAAYAAAA/PwA/AACAAAAAAAA8L8Cj1N0JJf/GUACoKut2F/2AUAAAAAAIAAAAPz8APwAAgAAAAAAAPC/Ao9TdCSX/xlAAmRd3EYD+A1AAAAAABwAAAD8/AD8AAIAAAAAAADwvwKmm8QgsDIfQAKJY13cRgP4PwAAAAAYAAAA/PwA/AACAAAAAAAA8L8C33GKjuQyIkACoKut2F/2AUAAAAAAGAAAAPz8APwAAgAAAAAAAPC/AqabxCCwMh9AAAAAAAABEAAEAWUEAAAAAAAAAAAECAFlBAAAAAAAAAAABAwBZQQAAAAAAAAAAAQQAWUEAAAAAAAAAAAQFAFlCAwAAAAAAAAAEBgBZQQAAAAAAAAAABQcAWUEAAAAAAAAAAAYIAFlCAgAAAAAAAAAHCQBZQQAAAAAAAAAABwoAWUICAAAAAAAAAAkLAFlBAAAAAAAAAAALDABZQgAAAAAAAAAACw0AWUEAAAAAAAAAAA0OAFlBAAAAAAAAAAANDwBZQQAAAAAAAAAACAoAWUEAAAAAAAAAAAAAAAA</t>
        </r>
      </text>
    </comment>
    <comment ref="A166" authorId="0" shapeId="0" xr:uid="{9B69C434-5C46-4CDE-A264-E04838DCE784}">
      <text>
        <r>
          <rPr>
            <sz val="9"/>
            <color indexed="81"/>
            <rFont val="Segoe UI"/>
            <charset val="1"/>
          </rPr>
          <t>Insight iXlW00001C0000166R0080105531S00000330P01740LAocjBAQBF1NjaVRlZ2ljLmRhdGEuTW9sZWN1bGUBbwF/ARJTY2lUZWdpYy5Nb2xlY3VsZQAAAQFkAv5qAQAAAAIAAgEXJAAAAPz8APwAAgAAAAAAAPC/AAAAAAAAGAAAAPz8APwAAgAAAAAAAPC/Avp+arx0k4g/Ase6uI0G8Pe/AAAAACQAAAD8/AD8AAIAAAAAAADwvwKTy39Iv330vwJxrIvbaAACwAAAAAAkAAAA/PwA/AACAAAAAAAA8L8CkKD4Meau9L8CNjy9UpYh6L8AAAAAGAAAAPz8APwAAgAAAAAAAPC/Ah3J5T+k3/Q/AvJBz2bV5wHAAAAAABgAAAD8/AD8AAIAAAAAAADwvwIdyeU/pN/0PwKPdXEbDeANwAAAAAAYAAAA/PwA/AACAAAAAAAA8L8C1zTvOEXHBEACPb1SliGO978AAAAAGAAAAPz8APwAAgAAAAAAAPC/Atc07zhFxwRAAg8tsp3v5xHAAAAAABgAAAD8/AD8AAIAAAAAAADwvwIfhetRuB4PQAItQxzr4rYBwAAAAAAcAAQA/PwA/AACAAAAAAAA8L8C1zTvOEXHBEACwFsgQfHjF8AAAAAAGAAAAPz8APwAAgAAAAAAAPC/Ah+F61G4Hg9AApGg+DHmrg3AAAAAACAAAAD8/AD8AAIAAAAAAADwvwKTy39Iv330PwJHA3gLJOgawAAAAAAgAPwA/PwA/AACAAAAAAAA8L8CH4XrUbgeD0ACCM4ZUdrbGsAAAAAAIAAAAPz8APwAAgAAAAAAAPC/Apf/kH77uhRAApDC9ShczxHAAAAAABgAAAD8/AD8AAIAAAAAAADwvwK8Jw8LteYZQALLoUW2830NwAAAAAAYAAAA/PwA/AACAAAAAAAA8L8C4E+Nl24SH0ACLUMc6+K2EcAAAAAAGAAAAPz8APwAAgAAAAAAAPC/AlmoNc07zhlAAmpv8IXJVAHAAAAAABgAAAD8/AD8AAIAAAAAAADwvwICvAUSFB8iQAIGo5I6AU0NwAAAAAAYAAAA/PwA/AACAAAAAAAA8L8CfdCzWfX5HkACKxiV1Alo9r8AAAAAGAAAAPz8APwAAgAAAAAAAPC/AsKGp1fKEiJAAqRwPQrXIwHAAAAAABwABAD8/AD8AAIAAAAAAADwvwLUmuYdp6gkQAKgGi/dJAb2vwAAAAAgAAAA/PwA/AACAAAAAAAA8L8C564l5IM+J0ACppvEILDyAMAAAAAAIAD8APz8APwAAgAAAAAAAPC/AiPb+X5qnCRAAhpR2ht8YcI/AAAAAAEYAAQBZQQAAAAAAAAAAAQIAWUEAAAAAAAAAAAEDAFlBAAAAAAAAAAABBABZQQAAAAAAAAAABAUAWUIDAAAAAAAAAAQGAFlBAAAAAAAAAAAFBwBZQQAAAAAAAAAABggAWUICAAAAAAAAAAcJAFlBAAAAAAAAAAAHCgBZQgMAAAAAAAAACQsAWUIAAAAAAAAAAAkMAFlBAAAAAAAAAAAKDQBZQQAAAAAAAAAADQ4AWUEAAAAAAAAAAA4PAFlCAwAAAAAAAAAOAEQAWUEAAAAAAAAAAA8AREBZQQAAAAAAAAAAAEQARIBZQgIAAAAAAAAAAERARMBZQgMAAAAAAAAAAETARQBZQQAAAAAAAAAAAEUARUBZQgAAAAAAAAAAAEUARYBZQQAAAAAAAAAACAoAWUEAAAAAAAAAAABEgETAWUEAAAAAAAAAAAAAAAA</t>
        </r>
      </text>
    </comment>
    <comment ref="A167" authorId="0" shapeId="0" xr:uid="{3A476E35-2B8C-4865-A606-E085E32373A5}">
      <text>
        <r>
          <rPr>
            <sz val="9"/>
            <color indexed="81"/>
            <rFont val="Segoe UI"/>
            <charset val="1"/>
          </rPr>
          <t>Insight iXlW00001C0000167R0080105531S00000332P02256LAocjBAQBF1NjaVRlZ2ljLmRhdGEuTW9sZWN1bGUBbwF/ARJTY2lUZWdpYy5Nb2xlY3VsZQAAAQFkAv5qAQAAAAIAAgEeAREAAAD8/AD8AAIAAAAAAADwvwAAAAAAABgAAAD8/AD8AAIAAAAAAADwvwK3Yn/ZPXmYvwICvAUSFD/4PwAAAAAYAAAA/PwA/AACAAAAAAAA8L8CXLG/7J489D8CQYLix5g7AkAAAAAAGAAAAPz8APwAAgAAAAAAAPC/Aov9ZffkYfW/Avvt68A5IwJAAAAAACAAAAD8/AD8AAIAAAAAAADwvwIhsHJokW0EQAKNuWsJ+aD4PwAAAAAYAAAA/PwA/AACAAAAAAAA8L8CQmDl0CLb8z8CQmDl0CJbDkAAAAAAGAAAAPz8APwAAgAAAAAAAPC/Ahb7y+7Jw/W/AvvL7snDQg5AAAAAABgAAAD8/AD8AAIAAAAAAADwvwKUh4Va07wOQALOqs/VVmwCQAAAAAAYAAAA/PwA/AACAAAAAAAA8L8C+MJkqmBUsr8CAU2EDU8vEkAAAAAAGAAAAPz8APwAAgAAAAAAAPC/AsTTK2UZYgXAAt4CCYofIxJAAAAAABgAAAD8/AD8AAIAAAAAAADwvwKEL0ymCoYUQAKnCkYldQL5PwAAAAAYAAAA/PwA/AACAAAAAAAA8L8CB1+YTBWMDkACB1+YTBWMDkAAAAAAJAAAAPz8APwAAgAAAAAAAPC/AsTTK2UZYgXAArwnDwu1JhhAAAAAACQAAAD8/AD8AAIAAAAAAADwvwJ9PzVeuskPwAL7y+7Jw0IOQAAAAAAkAAAA/PwA/AACAAAAAAAA8L8CfT81XrrJD8ACv58aL90kFUAAAAAAGAAAAPz8APwAAgAAAAAAAPC/Aj2bVZ+rrRlAApOpglFJnQJAAAAAABgAAAD8/AD8AAIAAAAAAADwvwI9m1Wfq20UQAKHFtnO91MSQAAAAAAYAAAA/PwA/AACAAAAAAAA8L8C2xt8YTKVGUAClIeFWtO8DkAAAAAAGAAAAPz8APwAAgAAAAAAAPC/AvcGX5hM1R5AAjEIrBxaZPk/AAAAABwABAD8/AD8AAIAAAAAAADwvwKUh4Va07weQALqlbIMcWwSQAAAAAAgAAAA/PwA/AACAAAAAAAA8L8CWDm0yHb+IUACWag1zTvOAkAAAAAAIAAAAPz8APwAAgAAAAAAAPC/AvcGX5hM1R5AAqabxCCwcrg/AAAAACAAAAD8/AD8AAIAAAAAAADwvwKneccpOvIhQAJahjjWxe0OQAAAAAAgAPwA/PwA/AACAAAAAAAA8L8CTvOOU3SkHkAC6wQ0ETZ8GEAAAAAAGAAAAPz8APwAAgAAAAAAAPC/Alg5tMh2/iFAAnUCmggbnuS/AAAAABgAAAD8/AD8AAIAAAAAAADwvwJYObTIdv4hQAIRNjy9UhYBwAAAAAAgAAAA/PwA/AACAAAAAAAA8L8ClIeFWtO8HkAC0m9fB84ZB8AAAAAAIAAAAPz8APwAAgAAAAAAAPC/AjXvOEVHkiRAAozbaABvAQfAAAAAABgAAAD8/AD8AAIAAAAAAADwvwI17zhFR5IkQAJkXdxGA3gRwAAAAAAYAAAA/PwA/AACAAAAAAAA8L8CEqW9wRcmJ0ACPZtVn6ttFMAAAAAAAR8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CAwAAAAAAAAAPAESAWUEAAAAAAAAAAABEQETAWUEAAAAAAAAAAABEgEUAWUIAAAAAAAAAAABEgEVAWUEAAAAAAAAAAABEwEWAWUIAAAAAAAAAAABEwEXAWUEAAAAAAAAAAABFQEYAWUEAAAAAAAAAAABGAEZAWUEAAAAAAAAAAABGQEaAWUIAAAAAAAAAAABGQEbAWUEAAAAAAAAAAABGwEcAWUEAAAAAAAAAAABHAEdAWUEAAAAAAAAAAAYIAFlBAAAAAAAAAAAARABEQFlBAAAAAAAAAAAAAAAAA==</t>
        </r>
      </text>
    </comment>
    <comment ref="A168" authorId="0" shapeId="0" xr:uid="{D2F86AB9-20A6-4CB9-8E7E-EDC5F9B9EE47}">
      <text>
        <r>
          <rPr>
            <sz val="9"/>
            <color indexed="81"/>
            <rFont val="Segoe UI"/>
            <charset val="1"/>
          </rPr>
          <t>Insight iXlW00001C0000168R0080105531S00000334P01448LAocjBAQBF1NjaVRlZ2ljLmRhdGEuTW9sZWN1bGUBbwF/ARJTY2lUZWdpYy5Nb2xlY3VsZQAAAQFkAv5qAQAAAAIAAgETAREAAAD8/AD8AAIAAAAAAADwvwAAAAAAABgAAAD8/AD8AAIAAAAAAADwvwJ0RpT2Bl+IvwLChqdXyjL4PwAAAAAYAAAA/PwA/AACAAAAAAAA8L8C3gIJih9j9D8CGQRWDi0yAkAAAAAAGAAAAPz8APwAAgAAAAAAAPC/AhKlvcEXJvW/AtJvXwfOGQJAAAAAACAAAAD8/AD8AAIAAAAAAADwvwIll/+QfnsEQALc14FzRpT4PwAAAAAYAAAA/PwA/AACAAAAAAAA8L8CUdobfGEy9D8CescpOpJLDkAAAAAAGAAAAPz8APwAAgAAAAAAAPC/AhB6Nqs+V/W/AjQzMzMzMw5AAAAAABgAAAD8/AD8AAIAAAAAAADwvwLarPpcbcUOQAKmLEMc62ICQAAAAAAkAAAA/PwA/AACAAAAAAAA8L8C3gIJih9jBEACGQRWDi0yEkAAAAAAGAAAAPz8APwAAgAAAAAAAPC/AnRGlPYGX6i/Ava52or9JRJAAAAAAAERAAAA/PwA/AACAAAAAAAA8L8CSnuDL0wmBcAC0m9fB84ZEkAAAAAAGAAAAPz8APwAAgAAAAAAAPC/AmTMXUvIhxRAAvYoXI/C9fg/AAAAABgAAAD8/AD8AAIAAAAAAADwvwKUGARWDq0OQAIH8BZIUHwOQAAAAAAYAAAA/PwA/AACAAAAAAAA8L8CP1dbsb+sGUACayv2l92TAkAAAAAAGAAAAPz8APwAAgAAAAAAAPC/AkGC4seYexRAAnyDL0ymShJAAAAAABgAAAD8/AD8AAIAAAAAAADwvwIcDeAtkKAZQAKUGARWDq0OQAAAAAAcAAQA/PwA/AACAAAAAAAA8L8C95fdk4fFHkACwhcmUwVjEkAAAAAAIAAAAPz8APwAAgAAAAAAAPC/AmmR7Xw/9SFAAlkXt9EA3g5AAAAAACAA/AD8/AD8AAIAAAAAAADwvwLTTWIQWLkeQAJz+Q/pt28YQAAAAAABFAAEAWUEAAAAAAAAAAAECAFlCAgAAAAAAAAABAwBZQQAAAAAAAAAAAgQAWUEAAAAAAAAAAAIFAFlBAAAAAAAAAAADBgBZQgMAAAAAAAAABAcAWUEAAAAAAAAAAAUIAFlBAAAAAAAAAAAFCQBZQgIAAAAAAAAABgoAWUEAAAAAAAAAAAcLAFlCAwAAAAAAAAAHDABZQQAAAAAAAAAACw0AWUEAAAAAAAAAAAwOAFlCAgAAAAAAAAANDwBZQgMAAAAAAAAADwBEAFlBAAAAAAAAAAAARABEQFlCAAAAAAAAAAAARABEgFlBAAAAAAAAAAAGCQBZQQAAAAAAAAAADg8AWUEAAAAAAAAAAAAAAAA</t>
        </r>
      </text>
    </comment>
    <comment ref="A169" authorId="0" shapeId="0" xr:uid="{64F9582A-B0BA-49D4-BE88-59CC37EAF0E6}">
      <text>
        <r>
          <rPr>
            <sz val="9"/>
            <color indexed="81"/>
            <rFont val="Segoe UI"/>
            <charset val="1"/>
          </rPr>
          <t>Insight iXlW00001C0000169R0080105531S00000336P01360LAocjBAQBF1NjaVRlZ2ljLmRhdGEuTW9sZWN1bGUBbwF/ARJTY2lUZWdpYy5Nb2xlY3VsZQAAAQFkAv5qAQAAAAIAAgESAREAAAD8/AD8AAIAAAAAAADwvwAAAAAAABgAAAD8/AD8AAIAAAAAAADwvwK3Yn/ZPXn0PwK9dJMYBFboPwAAAAAYAAAA/PwA/AACAAAAAAAA8L8C2V92Tx4W9D8CRdjw9EpZAkAAAAAAGAAAAPz8APwAAgAAAAAAAPC/Ardif9k9eQRAAoG3QILix4g/AAAAAAEQAAAA/PwA/AACAAAAAAAA8L8Cf/s6cM6Isr8CLPaX3ZOHCEAAAAAAGAAAAPz8APwAAgAAAAAAAPC/AkjhehSuRwRAAnS1FfvLbghAAAAAABgAAAD8/AD8AAIAAAAAAADwvwLaPXlYqLUOQAKbd5yiI7noPwAAAAAYAAAA/PwA/AACAAAAAAAA8L8CTRWMSuoE9r8CfIMvTKaKAkAAAAAAGAAAAPz8APwAAgAAAAAAAPC/AqOSOgFNhA5AAv0Yc9cScgJAAAAAABwAAAD8/AD8AAIAAAAAAADwvwKbd5yiI3kUQAI9m1Wfq62YPwAAAAABEQAAAPz8APwAAgAAAAAAAPC/Ak0VjErqBPa/AjEqqRPQROo/AAAAACQAAAD8/AD8AAIAAAAAAADwvwI4Z0Rpb3AFwAIs9pfdk4cIQAAAAAAkAAAA/PwA/AACAAAAAAAA8L8COGdEaW9wBcACCM4ZUdob+T8AAAAAGAAAAPz8APwAAgAAAAAAAPC/AkhQ/BhzlxlAAnl6pSxDHOk/AAAAACAAAAD8/AD8AAIAAAAAAADwvwKt+lxtxX4ZQAJ8gy9MpooCQAAAAAAcAAAA/PwA/AACAAAAAAAA8L8C9ihcj8K1HkACf/s6cM6Ioj8AAAAAGAAAAPz8APwAAgAAAAAAAPC/AtIA3gIJ6iFAAnUkl/+Qfuk/AAAAABgAAAD8/AD8AAIAAAAAAADwvwJb07zjFJ0eQAIFxY8xdy33vwAAAAABEgAEAWUEAAAAAAAAAAAECAFlCAgAAAAAAAAABAwBZQQAAAAAAAAAAAgQAWUEAAAAAAAAAAAIFAFlBAAAAAAAAAAADBgBZQgMAAAAAAAAABAcAWUEAAAAAAAAAAAUIAFlCAgAAAAAAAAAGCQBZQQAAAAAAAAAABwoAWUEAAAAAAAAAAAcLAFlBAAAAAAAAAAAHDABZQQAAAAAAAAAACQ0AWUEAAAAAAAAAAA0OAFlCAAAAAAAAAAANDwBZQQAAAAAAAAAADwBEAFlBAAAAAAAAAAAPAERAWUEAAAAAAAAAAAYIAFlBAAAAAAAAAAAAAAAAA==</t>
        </r>
      </text>
    </comment>
    <comment ref="A170" authorId="0" shapeId="0" xr:uid="{BC70A3E3-0863-42F9-A743-385E0119FB8C}">
      <text>
        <r>
          <rPr>
            <sz val="9"/>
            <color indexed="81"/>
            <rFont val="Segoe UI"/>
            <charset val="1"/>
          </rPr>
          <t>Insight iXlW00001C0000170R0080105531S00000338P02312LAocjBAQBF1NjaVRlZ2ljLmRhdGEuTW9sZWN1bGUBbwF/ARJTY2lUZWdpYy5Nb2xlY3VsZQAAAQFkAv5qAQAAAAIAAgEfAREAAAD8/AD8AAIAAAAAAADwvwAAAAAAABgAAAD8/AD8AAIAAAAAAADwvwACB/AWSFD89z8AAAAAGAAAAPz8APwAAgAAAAAAAPC/Ai2yne+nxvS/Aih+jLlrCQJAAAAAABgAAAD8/AD8AAIAAAAAAADwvwItsp3vp8b0PwIofoy5awkCQAAAAAAYAAAA/PwA/AACAAAAAAAA8L8CLbKd76fG9L8CLPaX3ZMHDkAAAAAAGAAAAPz8APwAAgAAAAAAAPC/AvXb14FzxgTAAgfwFkhQ/Pc/AAAAABgAAAD8/AD8AAIAAAAAAADwvwItsp3vp8b0PwIs9pfdkwcOQAAAAAAYAAAA/PwA/AACAAAAAAAA8L8AAih+jLlrCRJAAAAAACAAAAD8/AD8AAIAAAAAAADwvwILtaZ5xykPwAIawFsgQfEBQAAAAAAcAAAA/PwA/AACAAAAAAAA8L8AAio6kst/CBhAAAAAABgAAAD8/AD8AAIAAAAAAADwvwL129eBc8YUwALrc7UV+8v3PwAAAAAcAAAA/PwA/AACAAAAAAAA8L8C+aBns+pz878CidLe4AuTG0AAAAAAGAAAAPz8APwAAgAAAAAAAPC/AvmgZ7Pqc/M/AonS3uALkxtAAAAAABgAAAD8/AD8AAIAAAAAAADwvwKASL99HfgZwAINAiuHFtkBQAAAAAAYAAAA/PwA/AACAAAAAAAA8L8ClBgEVg4t6L8CMSqpE9CkIEAAAAAAHAAAAPz8APwAAgAAAAAAAPC/ApQYBFYOLeg/AjEqqRPQpCBAAAAAABgAAAD8/AD8AAIAAAAAAADwvwIt1JrmHScFQAJBguLHmLsZQAAAAAAkAAAA/PwA/AACAAAAAAAA8L8Cb4EExY/xHMAC6wQ0ETY8DEAAAAAAJAAAAPz8APwAAgAAAAAAAPC/Am7F/rJ78hbAAusENBE2PAxAAAAAABgAAAD8/AD8AAIAAAAAAADwvwLvycNCrSkfwALrc7UV+8v3PwAAAAAYAAAA/PwA/AACAAAAAAAA8L8Cxm00gLdA+r8CUB4Wak0TI0AAAAAAGAAAAPz8APwAAgAAAAAAAPC/As/3U+OlmwdAAlTjpZvE4BNAAAAAABgAAAD8/AD8AAIAAAAAAADwvwIs9pfdkwcOQAICvAUSFL8dQAAAAAAkAAAA/PwA/AACAAAAAAAA8L8CPZtVn6stIsACDQIrhxbZAUAAAAAAJAAAAPz8APwAAgAAAAAAAPC/Au/Jw0KtKR/AAu0NvjCZKoi/AAAAACQAAAD8/AD8AAIAAAAAAADwvwI9m1Wfqy0iwAIkKH6MuWvnPwAAAAAgAAAA/PwA/AACAAAAAAAA8L8CPN9PjZdu8L8CqvHSTWLQJUAAAAAAHAAAAPz8APwAAgAAAAAAAPC/Atnw9EpZBgnAAqK0N/jCxCJAAAAAABgAAAD8/AD8AAIAAAAAAADwvwLAfR04Z4QRQAIofoy5awkSQAAAAAAYAAAA/PwA/AACAAAAAAAA8L8C7nw/NV66FEACumsJ+aDnG0AAAAAAGAAAAPz8APwAAgAAAAAAAPC/Ar8OnDOi9BVAAs3MzMzMDBZAAAAAAAEhAAQBZQQAAAAAAAAAAAQIAWUIDAAAAAAAAAAEDAFlBAAAAAAAAAAACBABZQQAAAAAAAAAAAgUAWUEAAAAAAAAAAAMGAFlCAgAAAAAAAAAEBwBZQgMAAAAAAAAABQgAWUEAAAAAAAAAAAcJAFlBAAAAAAAAAAAICgBZQQAAAAAAAAAACQsAWUEAAAAAAAAAAAkMAFlBAAAAAAAAAAAKDQBZQQAAAAAAAAAACw4AWUIDAAAAAAAAAAwPAFlCAgAAAAAAAAAMAEQAWUEAAAAAAAAAAA0AREBZQQAAAAAAAAAADQBEgFlBAAAAAAAAAAANAETAWUEAAAAAAAAAAA4ARQBZQQAAAAAAAAAAAEQARUBZQgMAAAAAAAAAAEQARYBZQQAAAAAAAAAAAETARcBZQQAAAAAAAAAAAETARgBZQQAAAAAAAAAAAETARkBZQQAAAAAAAAAAAEUARoBZQgAAAAAAAAAAAEUARsBZQQAAAAAAAAAAAEVARwBZQQAAAAAAAAAAAEWAR0BZQgIAAAAAAAAAAEcAR4BZQgIAAAAAAAAABgcAWUEAAAAAAAAAAA4PAFlBAAAAAAAAAAAAR0BHgFlBAAAAAAAAAAAAAAAAA==</t>
        </r>
      </text>
    </comment>
    <comment ref="A171" authorId="0" shapeId="0" xr:uid="{378E109F-8E65-4325-BFFC-C23772290D86}">
      <text>
        <r>
          <rPr>
            <sz val="9"/>
            <color indexed="81"/>
            <rFont val="Segoe UI"/>
            <charset val="1"/>
          </rPr>
          <t>Insight iXlW00001C0000171R0080105531S00000340P00696LAocjBAQBF1NjaVRlZ2ljLmRhdGEuTW9sZWN1bGUBbwF/ARJTY2lUZWdpYy5Nb2xlY3VsZQAAAQFkAv5qAQAAAAIAAiQkAAAA/PwA/AACAAAAAAAA8L8AAAAAAAAYAAAA/PwA/AACAAAAAAAA8L8CG8BbIEHx578CEOm3rwPn9D8AAAAAJAAAAPz8APwAAgAAAAAAAPC/AhvAWyBB8fe/AnRGlPYGX5g/AAAAABgAAAD8/AD8AAIAAAAAAADwvwLSb18HzhnhPwLVeOkmMYgAQAAAAAAYAAAA/PwA/AACAAAAAAAA8L8Cj+TyH9JvAMAC1XjpJjGIAEAAAAAAIAAAAPz8APwAAgAAAAAAAPC/AlH8GHPXEv0/Ap0Rpb3BF/U/AAAAACAA/AD8/AD8AAIAAAAAAADwvwKbd5yiI7ngPwIp7Q2+MJkMQAAAAAAkAAAA/PwA/AACAAAAAAAA8L8CF9nO91PjCsACnRGlvcEX9T8AAAAAJAAAAPz8APwAAgAAAAAAAPC/AtV46SYxiADAAintDb4wmQxAAAAAACAABAFlBAAAAAAAAAAABAgBZQQAAAAAAAAAAAQMAWUEAAAAAAAAAAAEEAFlBAAAAAAAAAAADBQBZQgAAAAAAAAAAAwYAWUEAAAAAAAAAAAQHAFlBAAAAAAAAAAAECABZQQAAAAAAAAAAAAAAAA=</t>
        </r>
      </text>
    </comment>
    <comment ref="A172" authorId="0" shapeId="0" xr:uid="{E3A9D8BC-8FE6-4D9F-87D8-B56FE6764A7D}">
      <text>
        <r>
          <rPr>
            <sz val="9"/>
            <color indexed="81"/>
            <rFont val="Segoe UI"/>
            <charset val="1"/>
          </rPr>
          <t>Insight iXlW00001C0000172R0080105531S00000342P02324LAocjBAQBF1NjaVRlZ2ljLmRhdGEuTW9sZWN1bGUBbwF/ARJTY2lUZWdpYy5Nb2xlY3VsZQAAAQFkAv5qAQAAAAIAAgEgARAAAAD8/AD8AAIAAAAAAADwvwAAAAAAACAAAAD8/AD8AAIAAAAAAADwvwIg0m9fB870vwIxmSoYldTnPwAAAAAgAAAA/PwA/AACAAAAAAAA8L8CMZkqGJXU5z8CINJvXwfO9D8AAAAAHAD8APz8APwAAgAAAAAAAPC/AiDSb18HzvQ/AjGZKhiV1Oe/AAAAABgAAAD8/AD8AAIAAAAAAADwvwIxmSoYldTnvwIg0m9fB870vwAAAAAYAAAA/PwA/AACAAAAAAAA8L8CINJvXwfOBEAAAAAAABwAAAD8/AD8AAIAAAAAAADwvwLtDb4wmSqIPwIg0m9fB84EwAAAAAAYAAAA/PwA/AACAAAAAAAA8L8CK4cW2c73AcACINJvXwfO9L8AAAAAIAAAAPz8APwAAgAAAAAAAPC/AiDSb18HzgRAAr7BFyZTBfg/AAAAABwAAAD8/AD8AAIAAAAAAADwvwIwuycPCzUPQAIxmSoYldTnvwAAAAAYAAAA/PwA/AACAAAAAAAA8L8C+aBns+pz578CMLsnDws1D8AAAAAAGAAAAPz8APwAAgAAAAAAAPC/AngtIR/07AfAAAAAAAAYAAAA/PwA/AACAAAAAAAA8L8CeC0hH/TsB8ACINJvXwfOBMAAAAAAGAAAAPz8APwAAgAAAAAAAPC/Ajy9UpYhzhRAAAAAAAAYAAAA/PwA/AACAAAAAAAA8L8CHcnlP6TfAcACMLsnDws1D8AAAAAAGAAAAPz8APwAAgAAAAAAAPC/Au0NvjCZKpg/Ajy9UpYhzhTAAAAAACAAAAD8/AD8AAIAAAAAAADwvwIrhxbZzvcBwAIg0m9fB870PwAAAAAgAAAA/PwA/AACAAAAAAAA8L8CK4cW2c73EcAAAAAAABwAAAD8/AD8AAIAAAAAAADwvwLFsS5uowEaQAIxmSoYldTnvwAAAAAcAAAA/PwA/AACAAAAAAAA8L8CPL1SliHOFEACvsEXJlMF+D8AAAAAJAAAAPz8APwAAgAAAAAAAPC/AsKopE5AE+e/AsWxLm6jARrAAAAAACQAAAD8/AD8AAIAAAAAAADwvwL2udqK/WX4PwI8vVKWIc4UwAAAAAAkAAAA/PwA/AACAAAAAAAA8L8CutqK/WX36D8CxbEubqMBGsAAAAAAGAAAAPz8APwAAgAAAAAAAPC/AlHaG3xh8hTAAiDSb18HzvQ/AAAAABgAAAD8/AD8AAIAAAAAAADwvwJNpgpGJTUfQAAAAAAAGAAAAPz8APwAAgAAAAAAAPC/AsWxLm6jARpAAiuHFtnO9wFAAAAAACAAAAD8/AD8AAIAAAAAAADwvwJqTfOOUzQiQAIxmSoYldTnvwAAAAAYAAAA/PwA/AACAAAAAAAA8L8CTaYKRiU1H0ACvsEXJlMF+D8AAAAAIAAAAPz8APwAAgAAAAAAAPC/AsWxLm6jARpAAgpoImx4+g1AAAAAABgAAAD8/AD8AAIAAAAAAADwvwJqTfOOUzQiQAIrhxbZzvcBwAAAAAAYAAAA/PwA/AACAAAAAAAA8L8CPL1SliHOFEACK4cW2c73EUAAAAAALAAEAPz8APwAAgAAAAAAAPC/AkcDeAskKAJAAiigibDh6QLAAAAAAAEgAAQBZQgAAAAAAAAAAAAIAWUIAAAAAAAAAAAADAFlBAAAAAAAAAAAABABZQQAAAAAAAAAAAwUAWUEAAAAAAAAAAAQGAFlCAwAAAAAAAAAEBwBZQQAAAAAAAAAABQgAWUIAAAAAAAAAAAUJAFlBAAAAAAAAAAAGCgBZQQAAAAAAAAAABwsAWUEAAAAAAAAAAAcMAFlCAgAAAAAAAAAJDQBZQQAAAAAAAAAACg4AWUICAAAAAAAAAAoPAFlBAAAAAAAAAAALAEQAWUIAAAAAAAAAAAsAREBZQQAAAAAAAAAADQBEgFlCAwAAAAAAAAANAETAWUEAAAAAAAAAAA8ARQBZQQAAAAAAAAAADwBFQFlBAAAAAAAAAAAPAEWAWUEAAAAAAAAAAABEQEXAWUEAAAAAAAAAAABEgEYAWUEAAAAAAAAAAABEwEZAWUIDAAAAAAAAAABGAEaAWUEAAAAAAAAAAABGAEbAWUICAAAAAAAAAABGQEcAWUEAAAAAAAAAAABGgEdAWUEAAAAAAAAAAABHAEeAWUEAAAAAAAAAAAwOAFlBAAAAAAAAAAAARkBGwFlBAAAAAAAAAAAAAAAAA==</t>
        </r>
      </text>
    </comment>
    <comment ref="A173" authorId="0" shapeId="0" xr:uid="{5A21F0F4-7B9E-4C90-B8D1-3867B8CE2F73}">
      <text>
        <r>
          <rPr>
            <sz val="9"/>
            <color indexed="81"/>
            <rFont val="Segoe UI"/>
            <charset val="1"/>
          </rPr>
          <t>Insight iXlW00001C0000173R0080105531S00000344P01800LAocjBAQBF1NjaVRlZ2ljLmRhdGEuTW9sZWN1bGUBbwF/ARJTY2lUZWdpYy5Nb2xlY3VsZQAAAQFkAv5qAQAAAAIAAgEYJAAAAPz8APwAAgAAAAAAAPC/AAAAAAAAGAAAAPz8APwAAgAAAAAAAPC/AAKgGi/dJAb4vwAAAAAkAAAA/PwA/AACAAAAAAAA8L8CAiuHFtnO9L8C1QloImz4AcAAAAAAJAAAAPz8APwAAgAAAAAAAPC/AgIrhxbZzvS/Ai1DHOviNui/AAAAABgAAAD8/AD8AAIAAAAAAADwvwICK4cW2c70PwLVCWgibPgBwAAAAAAYAAAA/PwA/AACAAAAAAAA8L8CAiuHFtnOBEACoBov3SQG+L8AAAAAGAAAAPz8APwAAgAAAAAAAPC/AgIrhxbZzvQ/AiWX/5B++w3AAAAAABgAAAD8/AD8AAIAAAAAAADwvwKDwMqhRTYPQALVCWgibPgBwAAAAAAYAAAA/PwA/AACAAAAAAAA8L8CAiuHFtnOBEAC3GgAb4EEEsAAAAAAGAAAAPz8APwAAgAAAAAAAPC/AgIrhxbZzhRAAqAaL90kBvi/AAAAABgAAAD8/AD8AAIAAAAAAADwvwKDwMqhRTYPQAIll/+QfvsNwAAAAAAYAAAA/PwA/AACAAAAAAAA8L8CAiuHFtnOFEAAAAAAABgAAAD8/AD8AAIAAAAAAADwvwLD9ShcjwIaQALVCWgibPgBwAAAAAAgAAAA/PwA/AACAAAAAAAA8L8Cg8DKoUU2D0ACE/JBz2bV5z8AAAAAGAAAAPz8APwAAgAAAAAAAPC/AsP1KFyPAhpAAhPyQc9m1ec/AAAAABwAAAD8/AD8AAIAAAAAAADwvwKDwMqhRTYfQAKgGi/dJAb4vwAAAAAYAAAA/PwA/AACAAAAAAAA8L8Cw/UoXI8CGkAC1QloImz4AUAAAAAAGAAAAPz8APwAAgAAAAAAAPC/AoPAyqFFNh9AAAAAAAAYAAAA/PwA/AACAAAAAAAA8L8CokW28/00IkAC1QloImz4AcAAAAAAGAAAAPz8APwAAgAAAAAAAPC/AoPAyqFFNh9AAlqGONbF7QdAAAAAABgAAAD8/AD8AAIAAAAAAADwvwICK4cW2c4UQAJahjjWxe0HQAAAAAAYAAAA/PwA/AACAAAAAAAA8L8Cg8DKoUU2H0AC1QloImz4EUAAAAAAGAAAAPz8APwAAgAAAAAAAPC/AgIrhxbZzhRAAtUJaCJs+BFAAAAAABgAAAD8/AD8AAIAAAAAAADwvwLD9ShcjwIaQAIXSFD8GPMUQAAAAAABGgAEAWUEAAAAAAAAAAAECAFlBAAAAAAAAAAABAwBZQQAAAAAAAAAAAQQAWUEAAAAAAAAAAAQFAFlCAwAAAAAAAAAEBgBZQQAAAAAAAAAABQcAWUEAAAAAAAAAAAYIAFlCAgAAAAAAAAAHCQBZQQAAAAAAAAAABwoAWUICAAAAAAAAAAkLAFlBAAAAAAAAAAAJDABZQgMAAAAAAAAACw0AWUIAAAAAAAAAAAsOAFlBAAAAAAAAAAAMDwBZQQAAAAAAAAAADgBEAFlBAAAAAAAAAAAOAERAWUICAAAAAAAAAA8ARIBZQQAAAAAAAAAAAEQARMBZQgMAAAAAAAAAAEQARQBZQQAAAAAAAAAAAETARUBZQQAAAAAAAAAAAEUARYBZQgIAAAAAAAAAAEVARcBZQgIAAAAAAAAACAoAWUEAAAAAAAAAAA8AREBZQQAAAAAAAAAAAEWARcBZQQAAAAAAAAAAAAAAAA=</t>
        </r>
      </text>
    </comment>
    <comment ref="A174" authorId="0" shapeId="0" xr:uid="{1E10BD38-BEA2-4F56-A5CF-BB585EE25628}">
      <text>
        <r>
          <rPr>
            <sz val="9"/>
            <color indexed="81"/>
            <rFont val="Segoe UI"/>
            <charset val="1"/>
          </rPr>
          <t>Insight iXlW00001C0000174R0080105531S00000346P01448LAocjBAQBF1NjaVRlZ2ljLmRhdGEuTW9sZWN1bGUBbwF/ARJTY2lUZWdpYy5Nb2xlY3VsZQAAAQFkAv5qAQAAAAIAAgETAREAAAD8/AD8AAIAAAAAAADwvwAAAAAAABgAAAD8/AD8AAIAAAAAAADwvwLZzvdT46XjvwKZTBWMSur1vwAAAAAYAAAA/PwA/AACAAAAAAAA8L8CcoqO5PKfAMACT0ATYcPT+r8AAAAAGAAAAPz8APwAAgAAAAAAAPC/Avvt68A5I8I/Ag0CK4cWWQXAAAAAACAAAAD8/AD8AAIAAAAAAADwvwJTBaOSOoEJwALwp8ZLN4nlvwAAAAAcAAAA/PwA/AACAAAAAAAA8L8CYAfOGVHaAcAC/7J78rBQCcAAAAAAGAAAAPz8APwAAgAAAAAAAPC/Ai/dJAaBleu/ArWmeccpOg7AAAAAABgAAAD8/AD8AAIAAAAAAADwvwJvowG8BRL6PwL6fmq8dJMGwAAAAAAYAAAA/PwA/AACAAAAAAAA8L8CWDm0yHY+DMAClWWIY11cD8AAAAAAAREAAAD8/AD8AAIAAAAAAADwvwJuxf6ye/IBQAKjkjoBTcQQwAAAAAAYAAAA/PwA/AACAAAAAAAA8L8CjErqBDRRE8AC/7J78rBQCcAAAAAAGAAAAPz8APwAAgAAAAAAAPC/Alg5tMh2PgzAAlqGONbFrRXAAAAAABgAAAD8/AD8AAIAAAAAAADwvwJseHqlLIMYwAKVZYhjXVwPwAAAAAAYAAAA/PwA/AACAAAAAAAA8L8CjErqBDRRE8ACpd++DpyzGMAAAAAAGAAAAPz8APwAAgAAAAAAAPC/Amx4eqUsgxjAAlqGONbFrRXAAAAAABgAAAD8/AD8AAIAAAAAAADwvwJpke18P7UdwAL/snvysFAJwAAAAAAkAAAA/PwA/AACAAAAAAAA8L8CaZHtfD+1HcACM8SxLm6j+r8AAAAAJAAAAPz8APwAAgAAAAAAAPC/AqTfvg6ccyHAApVliGNdXA/AAAAAACQAAAD8/AD8AAIAAAAAAADwvwKk374OnHMhwAKwlGWIY10DwAAAAAABFAAEAWUEAAAAAAAAAAAECAFlBAAAAAAAAAAABAwBZQQAAAAAAAAAAAgQAWUIAAAAAAAAAAAIFAFlBAAAAAAAAAAADBgBZQQAAAAAAAAAAAwcAWUEAAAAAAAAAAAUIAFlBAAAAAAAAAAAHCQBZQQAAAAAAAAAACAoAWUIDAAAAAAAAAAgLAFlBAAAAAAAAAAAKDABZQQAAAAAAAAAACw0AWUICAAAAAAAAAAwOAFlCAgAAAAAAAAAMDwBZQQAAAAAAAAAADwBEAFlBAAAAAAAAAAAPAERAWUEAAAAAAAAAAA8ARIBZQQAAAAAAAAAABQYAWUEAAAAAAAAAAA0OAFlBAAAAAAAAAAAAAAAAA==</t>
        </r>
      </text>
    </comment>
    <comment ref="A175" authorId="0" shapeId="0" xr:uid="{8E10D9D2-808E-4303-9294-120104300509}">
      <text>
        <r>
          <rPr>
            <sz val="9"/>
            <color indexed="81"/>
            <rFont val="Segoe UI"/>
            <charset val="1"/>
          </rPr>
          <t>Insight iXlW00001C0000175R0080105531S00000348P01120LAocjBAQBF1NjaVRlZ2ljLmRhdGEuTW9sZWN1bGUBbwF/ARJTY2lUZWdpYy5Nb2xlY3VsZQAAAQFkAv5qAQAAAAIAAjwBEQAAAPz8APwAAgAAAAAAAPC/AAAAAAAAGAAAAPz8APwAAgAAAAAAAPC/AktZhjjWxfQ/AphuEoPAyue/AAAAABgAAAD8/AD8AAIAAAAAAADwvwJLWYY41sX0PwI4Z0Rpb/ABwAAAAAAYAAAA/PwA/AACAAAAAAAA8L8CE4PAyqHFBEAAAAAAACQAAAD8/AD8AAIAAAAAAADwvwACJZf/kH77B8AAAAAAHAAAAPz8APwAAgAAAAAAAPC/AhODwMqhxQRAAiWX/5B++wfAAAAAABwAAAD8/AD8AAIAAAAAAADwvwITg8DKocUEQAIll/+Qfvv3PwAAAAAYAAAA/PwA/AACAAAAAAAA8L8CuK8D54woD0ACmG4Sg8DK578AAAAAGAAAAPz8APwAAgAAAAAAAPC/ArivA+eMKA9AAjhnRGlv8AHAAAAAAAERAAAA/PwA/AACAAAAAAAA8L8CE4PAyqHFFEAC7Q2+MJkqiD8AAAAAIAAAAPz8APwAAgAAAAAAAPC/AhODwMqhxRRAAiWX/5B++wfAAAAAABgAAAD8/AD8AAIAAAAAAADwvwJmGeJYF/cZQAI4Z0Rpb/ABwAAAAAAYAAAA/PwA/AACAAAAAAAA8L8CuK8D54woH0ACJZf/kH77B8AAAAAAIAAAAPz8APwAAgAAAAAAAPC/AnctIR/0LCJAAjhnRGlv8AHAAAAAACAAAAD8/AD8AAIAAAAAAADwvwK4rwPnjCgfQAJcsb/snvwRwAAAAAA8AAQBZQQAAAAAAAAAAAQIAWUICAAAAAAAAAAEDAFlBAAAAAAAAAAACBABZQQAAAAAAAAAAAgUAWUEAAAAAAAAAAAMGAFlBAAAAAAAAAAADBwBZQgMAAAAAAAAABQgAWUIDAAAAAAAAAAcJAFlBAAAAAAAAAAAICgBZQQAAAAAAAAAACgsAWUEAAAAAAAAAAAsMAFlBAAAAAAAAAAAMDQBZQgAAAAAAAAAADA4AWUEAAAAAAAAAAAcIAFlBAAAAAAAAAAAAAAAAA==</t>
        </r>
      </text>
    </comment>
    <comment ref="A176" authorId="0" shapeId="0" xr:uid="{B1307DC5-1767-45A5-9C2F-B6EC789A8C70}">
      <text>
        <r>
          <rPr>
            <sz val="9"/>
            <color indexed="81"/>
            <rFont val="Segoe UI"/>
            <charset val="1"/>
          </rPr>
          <t>Insight iXlW00001C0000176R0080105531S00000350P01824LAocjBAQBF1NjaVRlZ2ljLmRhdGEuTW9sZWN1bGUBbwF/ARJTY2lUZWdpYy5Nb2xlY3VsZQAAAQFkAv5qAQAAAAIAAgEYJAAAAPz8APwAAgAAAAAAAPC/AAAAAAAAGAAAAPz8APwAAgAAAAAAAPC/AALFsS5uowH4vwAAAAAkAAAA/PwA/AACAAAAAAAA8L8CmG4Sg8DK9L8CTKYKRiX1AcAAAAAAJAAAAPz8APwAAgAAAAAAAPC/AphuEoPAyvS/Aqk1zTtO0ee/AAAAABgAAAD8/AD8AAIAAAAAAADwvwKYbhKDwMr0PwJMpgpGJfUBwAAAAAAYAAAA/PwA/AACAAAAAAAA8L8C0ETY8PTKBEACxbEubqMB+L8AAAAAGAAAAPz8APwAAgAAAAAAAPC/AphuEoPAyvQ/AvYoXI/C9Q3AAAAAABgAAAD8/AD8AAIAAAAAAADwvwIcfGEyVTAPQAJMpgpGJfUBwAAAAAAYAAAA/PwA/AACAAAAAAAA8L8C0ETY8PTKBEACNxrAWyABEsAAAAAAGAAAAPz8APwAAgAAAAAAAPC/ArRZ9bnayhRAAsWxLm6jAfi/AAAAABgAAAD8/AD8AAIAAAAAAADwvwIcfGEyVTAPQAL2KFyPwvUNwAAAAAAYAAAA/PwA/AACAAAAAAAA8L8CvAUSFD9GGkACQs9m1efqAMAAAAAAGAAAAPz8APwAAgAAAAAAAPC/AkcDeAskaBVAAu0NvjCZKoi/AAAAACAAAAD8/AD8AAIAAAAAAADwvwJDrWnecUoeQAKMSuoENBHwvwAAAAAcAAAA/PwA/AACAAAAAAAA8L8Cxm00gLeAG0ACwhcmUwWjDMAAAAAAIAAAAPz8APwAAgAAAAAAAPC/Akku/yH99hBAAuGcEaW9we8/AAAAABgIAAD8/AD8AAIAAAAAAADwvwKjkjoBTUQbQAIukKD4MebSPwAAAAAYAAAA/PwA/AACAAAAAAAA8L8CeXqlLEOcIEACmggbnl4pEMAAAAAAGAAAAPz8APwAAgAAAAAAAPC/AtNNYhBYuR1AAi3UmuYdp/o/AAAAABgAAAD8/AD8AAIAAAAAAADwvwKSXP5D+i0aQALImLuWkA8HQAAAAAAYAAAA/PwA/AACAAAAAAAA8L8CEVg5tMjWIUACeXqlLEMc/T8AAAAAGAAAAPz8APwAAgAAAAAAAPC/At4CCYofoxxAAlCNl24SAxFAAAAAABgAAAD8/AD8AAIAAAAAAADwvwI3qz5XWxEjQAIUP8bctYQJQAAAAAAYAAAA/PwA/AACAAAAAAAA8L8ClrIMcaxLIUAC4zYawFugEUAAAAAAARoABAFlBAAAAAAAAAAABAgBZQQAAAAAAAAAAAQMAWUEAAAAAAAAAAAEEAFlBAAAAAAAAAAAEBQBZQgMAAAAAAAAABAYAWUEAAAAAAAAAAAUHAFlBAAAAAAAAAAAGCABZQgIAAAAAAAAABwkAWUEAAAAAAAAAAAcKAFlCAgAAAAAAAAAJCwBZQgMAAAAAAAAACQwAWUEAAAAAAAAAAAsNAFlBAAAAAAAAAAALDgBZQQAAAAAAAAAADA8AWUIAAAAAAAAAAAwARABZQQAAAAAAAAAADgBEQFlBAAAAAAAAAAAARABEgFlBBAAAAAAAAAAARIBEwFlCAwAAAAAAAAAARIBFAFlBAAAAAAAAAAAARMBFQFlBAAAAAAAAAAAARQBFgFlCAgAAAAAAAAAARUBFwFlCAgAAAAAAAAAICgBZQQAAAAAAAAAADQBEAFlBAAAAAAAAAAAARYBFwFlBAAAAAAAAAAAAAAAAA==</t>
        </r>
      </text>
    </comment>
    <comment ref="A177" authorId="0" shapeId="0" xr:uid="{3FF594B7-E447-48FE-978E-93A2F48886B1}">
      <text>
        <r>
          <rPr>
            <sz val="9"/>
            <color indexed="81"/>
            <rFont val="Segoe UI"/>
            <charset val="1"/>
          </rPr>
          <t>Insight iXlW00001C0000177R0080105531S00000352P01880LAocjBAQBF1NjaVRlZ2ljLmRhdGEuTW9sZWN1bGUBbwF/ARJTY2lUZWdpYy5Nb2xlY3VsZQAAAQFkAv5qAQAAAAIAAgEZAREAAAD8/AD8AAIAAAAAAADwvwAAAAAAABgAAAD8/AD8AAIAAAAAAADwvwK2FfvL7sn0vwLkg57Nqs/nvwAAAAAYAAAA/PwA/AACAAAAAAAA8L8CthX7y+7J9L8CMnctIR/0AcAAAAAAGAAAAPz8APwAAgAAAAAAAPC/An0/NV66yQTAAAAAAAABEAAAAPz8APwAAgAAAAAAAPC/AAI51sVtNAAIwAAAAAAYAAAA/PwA/AACAAAAAAAA8L8CfT81XrrJBMACKxiV1AnoB8AAAAAAGAAAAPz8APwAAgAAAAAAAPC/AljKMsSxLg/AAhx8YTJVMOi/AAAAABgAAAD8/AD8AAIAAAAAAADwvwACOdbFbTQAEsAAAAAAGAAAAPz8APwAAgAAAAAAAPC/AljKMsSxLg/AAjJ3LSEf9AHAAAAAACQAAAD8/AD8AAIAAAAAAADwvwJ9PzVeuskUwALtDb4wmSqIvwAAAAAYAAAA/PwA/AACAAAAAAAA8L8CthX7y+7J9D8CvAUSFD8GFcAAAAAAHAAAAPz8APwAAgAAAAAAAPC/An0/NV66yRTAAisYldQJ6AfAAAAAACAAAAD8/AD8AAIAAAAAAADwvwJ9PzVeuskEQAJANV66SQwSwAAAAAAgAAAA/PwA/AACAAAAAAAA8L8CthX7y+7J9D8CvAUSFD8GG8AAAAAAGAAAAPz8APwAAgAAAAAAAPC/An0/NV66yRTAAhaMSuoE9BHAAAAAABgAAAD8/AD8AAIAAAAAAADwvwJ9PzVeuskEQAJcIEHxYwwewAAAAAABEAAAAPz8APwAAgAAAAAAAPC/AvLSTWIQ2A/AAh6n6EgufxXAAAAAABwAAAD8/AD8AAIAAAAAAADwvwKegCbChqcZwAIep+hILn8VwAAAAAAYAAAA/PwA/AACAAAAAAAA8L8C+g/pt6/DEcAC9GxWfa42G8AAAAAAHAAAAPz8APwAAgAAAAAAAPC/Ah1aZDvfzxfAAvRsVn2uNhvAAAAAABgAAAD8/AD8AAIAAAAAAADwvwKJY13cRoMfwAIUP8bctUQUwAAAAAAgAAAA/PwA/AACAAAAAAAA8L8C4umVsgxxDMACCtejcD0KIMAAAAAAGAAAAPz8APwAAgAAAAAAAPC/Amsr9pfd0xvAArprCfmgpx/AAAAAABgAAAD8/AD8AAIAAAAAAADwvwL6D+m3r8MhwALaPXlYqLUYwAAAAAAYAAAA/PwA/AACAAAAAAAA8L8CK4cW2c7XIMACsAPnjChtHsAAAAAAARsABAFlBAAAAAAAAAAABAgBZQgIAAAAAAAAAAQMAWUEAAAAAAAAAAAIEAFlBAAAAAAAAAAACBQBZQQAAAAAAAAAAAwYAWUIDAAAAAAAAAAQHAFlBAAAAAAAAAAAFCABZQgMAAAAAAAAABgkAWUEAAAAAAAAAAAcKAFlBAAAAAAAAAAAICwBZQQAAAAAAAAAACgwAWUIAAAAAAAAAAAoNAFlBAAAAAAAAAAALDgBZQgIAAAAAAAAADQ8AWUEAAAAAAAAAAA4ARABZQQAAAAAAAAAADgBEQFlBAAAAAAAAAAAARABEgFlBAAAAAAAAAAAAREBEwFlBAAAAAAAAAAAAREBFAFlBAAAAAAAAAAAARIBFQFlCAAAAAAAAAAAARMBFgFlBAAAAAAAAAAAARQBFwFlBAAAAAAAAAAAARYBGAFlBAAAAAAAAAAAGCABZQQAAAAAAAAAAAESARMBZQQAAAAAAAAAAAEXARgBZQQAAAAAAAAAAAAAAAA=</t>
        </r>
      </text>
    </comment>
    <comment ref="A178" authorId="0" shapeId="0" xr:uid="{1AF15CFC-C12C-4F25-B8DF-0978DEE80D97}">
      <text>
        <r>
          <rPr>
            <sz val="9"/>
            <color indexed="81"/>
            <rFont val="Segoe UI"/>
            <charset val="1"/>
          </rPr>
          <t>Insight iXlW00001C0000178R0080105531S00000354P02140LAocjBAQBF1NjaVRlZ2ljLmRhdGEuTW9sZWN1bGUBbwF/ARJTY2lUZWdpYy5Nb2xlY3VsZQAAAQFkAv5qAQAAAAIAAgEdAREAAAD8/AD8AAIAAAAAAADwvwAAAAAAABgAAAD8/AD8AAIAAAAAAADwvwACxbEubqMB+D8AAAAAGAAAAPz8APwAAgAAAAAAAPC/Agkbnl4py/Q/AlpkO99PDQJAAAAAABgAAAD8/AD8AAIAAAAAAADwvwIJG55eKcv0vwJMpgpGJfUBQAAAAAAgAAAA/PwA/AACAAAAAAAA8L8C0ETY8PTKBEAC4C2QoPgx+D8AAAAAGAAAAPz8APwAAgAAAAAAAPC/Agkbnl4py/Q/Aj29UpYhDg5AAAAAABgAAAD8/AD8AAIAAAAAAADwvwIJG55eKcv0vwIv/yH99vUNQAAAAAAYAAAA/PwA/AACAAAAAAAA8L8CVVInoIkwD0ACaCJseHolAkAAAAAAGAAAAPz8APwAAgAAAAAAAPC/AAJTBaOSOgESQAAAAAAYAAAA/PwA/AACAAAAAAAA8L8C0ETY8PTKBMACTKYKRiX1EUAAAAAAGAAAAPz8APwAAgAAAAAAAPC/AtBE2PD0yhRAAvyp8dJNYvg/AAAAABgAAAD8/AD8AAIAAAAAAADwvwJVUiegiTAPQAJLe4MvTCYOQAAAAAAkAAAA/PwA/AACAAAAAAAA8L8CVVInoIkwD8ACAk2EDU/vFEAAAAAAJAAAAPz8APwAAgAAAAAAAPC/AtBE2PD0ygTAAr5SliGO9RdAAAAAACQAAAD8/AD8AAIAAAAAAADwvwJVUiegiTAPwAIhQfFjzN0NQAAAAAAYAAAA/PwA/AACAAAAAAAA8L8Ck8t/SL/9GUACduCcEaU9AkAAAAAAGAAAAPz8APwAAgAAAAAAAPC/AtBE2PD0yhRAAmHD0ytlGRJAAAAAABgAAAD8/AD8AAIAAAAAAADwvwKTy39Iv/0ZQAJYObTIdj4OQAAAAAAYAAAA/PwA/AACAAAAAAAA8L8COWdEaW8wH0ACGCZTBaOS+D8AAAAAHAAEAPz8APwAAgAAAAAAAPC/AjlnRGlvMB9AAmgibHh6JRJAAAAAACAAAAD8/AD8AAIAAAAAAADwvwL99nXgnDEiQAKEns2qz1UCQAAAAAAcAPwA/PwA/AACAAAAAAAA8L8COWdEaW8wH0ACcoqO5PIfoj8AAAAAIAAAAPz8APwAAgAAAAAAAPC/AjlnRGlvMB9AAtnO91PjJRhAAAAAACAA/AD8/AD8AAIAAAAAAADwvwL99nXgnDEiQAJm9+RhoVYOQAAAAAABEAAAAPz8APwAAgAAAAAAAPC/Av32deCcMSJAAh/0bFZ9rua/AAAAACAAAAD8/AD8AAIAAAAAAADwvwLQRNjw9MokQALkFB3J5T/3vwAAAAAgAAAA/PwA/AACAAAAAAAA8L8CoyO5/Ie0IEACjErqBDQRAMAAAAAAGAAAAPz8APwAAgAAAAAAAPC/AljKMsSxriNAAhDpt68D5+I/AAAAACwABAD8/AD8AAIAAAAAAADwvwKQoPgx5q4WQAK/nxov3STSvwAAAAABHQAEAWUEAAAAAAAAAAAECAFlCAgAAAAAAAAABAwBZQQAAAAAAAAAAAgQAWUEAAAAAAAAAAAIFAFlBAAAAAAAAAAADBgBZQgMAAAAAAAAABAcAWUEAAAAAAAAAAAUIAFlCAgAAAAAAAAAGCQBZQQAAAAAAAAAABwoAWUIDAAAAAAAAAAcLAFlBAAAAAAAAAAAJDABZQQAAAAAAAAAACQ0AWUEAAAAAAAAAAAkOAFlBAAAAAAAAAAAKDwBZQQAAAAAAAAAACwBEAFlCAgAAAAAAAAAPAERAWUIDAAAAAAAAAA8ARIBZQQAAAAAAAAAAAERARMBZQQAAAAAAAAAAAESARQBZQgAAAAAAAAAAAESARUBZQQAAAAAAAAAAAETARYBZQgAAAAAAAAAAAETARcBZQQAAAAAAAAAAAEVARgBZQQAAAAAAAAAAAEYARkBZQgAAAAAAAAAAAEYARoBZQgAAAAAAAAAAAEYARsBZQQAAAAAAAAAABggAWUEAAAAAAAAAAABEAERAWUEAAAAAAAAAAAAAAAA</t>
        </r>
      </text>
    </comment>
    <comment ref="A179" authorId="0" shapeId="0" xr:uid="{EA1425A9-A7AB-447C-AE44-B6B2F4EF2E67}">
      <text>
        <r>
          <rPr>
            <sz val="9"/>
            <color indexed="81"/>
            <rFont val="Segoe UI"/>
            <charset val="1"/>
          </rPr>
          <t>Insight iXlW00001C0000179R0080105531S00000356P02260LAocjBAQBF1NjaVRlZ2ljLmRhdGEuTW9sZWN1bGUBbwF/ARJTY2lUZWdpYy5Nb2xlY3VsZQAAAQFkAv5qAQAAAAIAAgEfARAAAAD8/AD8AAIAAAAAAADwvwAAAAAAACAAAAD8/AD8AAIAAAAAAADwvwL1SlmGONbnPwJz1xLyQc/0PwAAAAAgAAAA/PwA/AACAAAAAAAA8L8Cc9cS8kHP9L8C9UpZhjjW5z8AAAAAHAAAAPz8APwAAgAAAAAAAPC/AnPXEvJBz/Q/AvVKWYY41ue/AAAAABgAAAD8/AD8AAIAAAAAAADwvwL1SlmGONbnvwJz1xLyQc/0vwAAAAAYAAAA/PwA/AACAAAAAAAA8L8CrK3YX3bPBEAAAAAAABgAAAD8/AD8AAIAAAAAAADwvwJGtvP91PgBwAJz1xLyQc/0vwAAAAAYAAAA/PwA/AACAAAAAAAA8L8AAqyt2F92zwTAAAAAACAAAAD8/AD8AAIAAAAAAADwvwKsrdhfds8EQAIRx7q4jQb4PwAAAAAcAAAA/PwA/AACAAAAAAAA8L8CZhniWBc3D0AC9UpZhjjW578AAAAAGAAAAPz8APwAAgAAAAAAAPC/AjzfT42X7gfAAAAAAAAYAAAA/PwA/AACAAAAAAAA8L8CPN9PjZfuB8ACrK3YX3bPBMAAAAAAGAAAAPz8APwAAgAAAAAAAPC/AvVKWYY41ue/AmYZ4lgXNw/AAAAAABgAAAD8/AD8AAIAAAAAAADwvwKQwvUoXM8UQAAAAAAAIAAAAPz8APwAAgAAAAAAAPC/Aka28/3U+AHAAnPXEvJBz/Q/AAAAABwAAAD8/AD8AAIAAAAAAADwvwJiodY07/gRwAAAAAAAGAAAAPz8APwAAgAAAAAAAPC/Aka28/3U+AHAAmYZ4lgXNw/AAAAAABwAAAD8/AD8AAIAAAAAAADwvwLtDb4wmSqIPwKQwvUoXM8UwAAAAAAcAAAA/PwA/AACAAAAAAAA8L8CkML1KFzPFEACEce6uI0G+D8AAAAAHAAAAPz8APwAAgAAAAAAAPC/AoljXdxGAxpAAvVKWYY41ue/AAAAABgAAAD8/AD8AAIAAAAAAADwvwLByqFFtvMUwAJz1xLyQc/0PwAAAAAYAAAA/PwA/AACAAAAAAAA8L8CwcqhRbbzFMACc9cS8kHP9L8AAAAAGAAAAPz8APwAAgAAAAAAAPC/Ap7vp8ZLN/g/ApDC9ShczxTAAAAAABgAAAD8/AD8AAIAAAAAAADwvwKJY13cRgMaQAJGtvP91PgBQAAAAAAYAAAA/PwA/AACAAAAAAAA8L8CZhniWBc3H0AAAAAAACAAAAD8/AD8AAIAAAAAAADwvwKaCBueXikCQAJmGeJYFzcPwAAAAAAgAAAA/PwA/AACAAAAAAAA8L8CiWNd3EYDGkACB/AWSFD8DUAAAAAAGAAAAPz8APwAAgAAAAAAAPC/AmYZ4lgXNx9AAhHHuriNBvg/AAAAACAAAAD8/AD8AAIAAAAAAADwvwKhZ7PqczUiQAL1SlmGONbnvwAAAAAYAAAA/PwA/AACAAAAAAAA8L8CkML1KFzPFEACYqHWNO/4EUAAAAAAGAAAAPz8APwAAgAAAAAAAPC/AqFns+pzNSJAAka28/3U+AHAAAAAAAEgAAQBZQgAAAAAAAAAAAAIAWUIAAAAAAAAAAAADAFlBAAAAAAAAAAAABABZQQAAAAAAAAAAAwUAWUEAAAAAAAAAAAQGAFlCAgAAAAAAAAAEBwBZQQAAAAAAAAAABQgAWUIAAAAAAAAAAAUJAFlBAAAAAAAAAAAGCgBZQQAAAAAAAAAABgsAWUEAAAAAAAAAAAcMAFlCAwAAAAAAAAAJDQBZQQAAAAAAAAAACg4AWUIAAAAAAAAAAAoPAFlBAAAAAAAAAAALAEQAWUICAAAAAAAAAAwAREBZQQAAAAAAAAAADQBEgFlCAwAAAAAAAAANAETAWUEAAAAAAAAAAA8ARQBZQQAAAAAAAAAADwBFQFlBAAAAAAAAAAAAREBFgFlBAAAAAAAAAAAARIBFwFlBAAAAAAAAAAAARMBGAFlCAwAAAAAAAAAARYBGQFlCAAAAAAAAAAAARcBGgFlBAAAAAAAAAAAARcBGwFlCAgAAAAAAAAAARgBHAFlBAAAAAAAAAAAARoBHQFlBAAAAAAAAAAAARwBHgFlBAAAAAAAAAAAMAEQAWUEAAAAAAAAAAABGAEbAWUEAAAAAAAAAAAAAAAA</t>
        </r>
      </text>
    </comment>
    <comment ref="A180" authorId="0" shapeId="0" xr:uid="{430D64C4-75D6-404C-99ED-9872F02A5BD8}">
      <text>
        <r>
          <rPr>
            <sz val="9"/>
            <color indexed="81"/>
            <rFont val="Segoe UI"/>
            <charset val="1"/>
          </rPr>
          <t>Insight iXlW00001C0000180R0080105531S00000358P00728LAocjBAQBF1NjaVRlZ2ljLmRhdGEuTW9sZWN1bGUBbwF/ARJTY2lUZWdpYy5Nb2xlY3VsZQAAAQFkAv5qAQAAAAIAAig8AAAA/PwA/AACAAAAAAAA8L8AAAAAAAAgAAAA/PwA/AACAAAAAAAA8L8CPnlYqDXN5z8CgLdAguLH9L8AAAAAIAAAAPz8APwAAgAAAAAAAPC/AoC3QILix/S/AnZxGw3gLei/AAAAACAAAAD8/AD8AAIAAAAAAADwvwJ2cRsN4C3ovwKAt0CC4sf0PwAAAAAYAAAA/PwA/AACAAAAAAAA8L8CgLdAguLH9D8CPnlYqDXN5z8AAAAAGAAAAPz8APwAAgAAAAAAAPC/AkjhehSuxwTAAAAAAAAgAAAA/PwA/AACAAAAAAAA8L8CgLdAguLH9D8CNe84RUfyAUAAAAAAHAAAAPz8APwAAgAAAAAAAPC/AkjhehSuxwRAAAAAAAAYAAAA/PwA/AACAAAAAAAA8L8CCD2bVZ8rD8ACdnEbDeAt6L8AAAAAHAAAAPz8APwAAgAAAAAAAPC/AhaMSuoENOu/Aucdp+hILghAAAAAACAABAFlCAAAAAAAAAAAAAgBZQQQAAAAAAAAAAAMAWUEAAAAAAAAAAAAEAFlBAAAAAAAAAAACBQBZQQAAAAAAAAAABAYAWUIAAAAAAAAAAAQHAFlBAAAAAAAAAAAFCABZQQAAAAAAAAAAAAAAAA=</t>
        </r>
      </text>
    </comment>
    <comment ref="A181" authorId="0" shapeId="0" xr:uid="{D32E9EB7-0D0D-4FC8-AAF7-9CB736F38218}">
      <text>
        <r>
          <rPr>
            <sz val="9"/>
            <color indexed="81"/>
            <rFont val="Segoe UI"/>
            <charset val="1"/>
          </rPr>
          <t>Insight iXlW00001C0000181R0080105531S00000360P00860LAocjBAQBF1NjaVRlZ2ljLmRhdGEuTW9sZWN1bGUBbwF/ARJTY2lUZWdpYy5Nb2xlY3VsZQAAAQFkAv5qAQAAAAIAAjA8AAAA/PwA/AACAAAAAAAA8L8AAAAAAAAgAAAA/PwA/AACAAAAAAAA8L8AAhi30QDeAvg/AAAAACAAAAD8/AD8AAIAAAAAAADwvwI3GsBbIEH3PwIydy0hH/TYvwAAAAAYAAAA/PwA/AACAAAAAAAA8L8C63O1FfvL9L8Ci47k8h/S578AAAAAGAAAAPz8APwAAgAAAAAAAPC/Amu8dJMYBPE/Amu8dJMYBPG/AAAAABgAAAD8/AD8AAIAAAAAAADwvwLrc7UV+8sEwAAAAAAAGAAAAPz8APwAAgAAAAAAAPC/AqhXyjLEMQ/AAouO5PIf0ue/AAAAABwAAAD8/AD8AAIAAAAAAADwvwKoV8oyxDEPwAIv/yH99vUBwAAAAAAYAAAA/PwA/AACAAAAAAAA8L8Cz4jS3uDLFMAAAAAAACAAAAD8/AD8AAIAAAAAAADwvwLJ5T+k3/4ZwAKLjuTyH9LnvwAAAAAgAAAA/PwA/AACAAAAAAAA8L8Cz4jS3uDLFMACGLfRAN4C+D8AAAAAHAAAAPz8APwAAgAAAAAAAPC/Aoj029eB0yDAApSHhVrTvPw/AAAAACgABAFlCAAAAAAAAAAAAAgBZQQAAAAAAAAAAAAMAWUEAAAAAAAAAAAAEAFlBAAAAAAAAAAADBQBZQQAAAAAAAAAABQYAWUEAAAAAAAAAAAYHAFlBAAAAAAAAAAAGCABZQQAAAAAAAAAACAkAWUIAAAAAAAAAAAgKAFlBAAAAAAAAAAAAAAAAA==</t>
        </r>
      </text>
    </comment>
    <comment ref="A182" authorId="0" shapeId="0" xr:uid="{BDC27B75-CAE1-4032-A583-41B1464E3B18}">
      <text>
        <r>
          <rPr>
            <sz val="9"/>
            <color indexed="81"/>
            <rFont val="Segoe UI"/>
            <charset val="1"/>
          </rPr>
          <t>Insight iXlW00001C0000182R0080105531S00000362P00756LAocjBAQBF1NjaVRlZ2ljLmRhdGEuTW9sZWN1bGUBbwF/ARJTY2lUZWdpYy5Nb2xlY3VsZQAAAQFkAv5qAQAAAAIAAig8AAAA/PwA/AACAAAAAAAA8L8AAAAAAAAgAAAA/PwA/AACAAAAAAAA8L8AAgAAAAAAAPg/AAAAACAAAAD8/AD8AAIAAAAAAADwvwI1XrpJDALxPwIa4lgXt9HwvwAAAAAgAAAA/PwA/AACAAAAAAAA8L8CkQ96Nqs+9z8C/tR46SYx2L8AAAAAGAAAAPz8APwAAgAAAAAAAPC/AkVpb/CFyfS/Ahx8YTJVMOi/AAAAABwAAAD8/AD8AAIAAAAAAADwvwJ9PzVeuskEwALtDb4wmSqIvwAAAAAYAAAA/PwA/AACAAAAAAAA8L8CIPRsVn0uD8ACVHQkl/+Q6L8AAAAAGAAAAPz8APwAAgAAAAAAAPC/AmFUUiegyRTAAu0NvjCZKpi/AAAAACAAAAD8/AD8AAIAAAAAAADwvwKyLm6jAfwZwAKMbOf7qfHovwAAAAAgAAAA/PwA/AACAAAAAAAA8L8CYVRSJ6DJFMACyQc9m1Wf9z8AAAAAJAAEAWUIAAAAAAAAAAAACAFlBAAAAAAAAAAAAAwBZQQAAAAAAAAAAAAQAWUEAAAAAAAAAAAQFAFlBAAAAAAAAAAAFBgBZQQAAAAAAAAAABgcAWUEAAAAAAAAAAAcIAFlCAAAAAAAAAAAHCQBZQQAAAAAAAAAAAAAAAA=</t>
        </r>
      </text>
    </comment>
    <comment ref="A183" authorId="0" shapeId="0" xr:uid="{FD9DDB80-4C7E-479F-8EDE-529E17C697A3}">
      <text>
        <r>
          <rPr>
            <sz val="9"/>
            <color indexed="81"/>
            <rFont val="Segoe UI"/>
            <charset val="1"/>
          </rPr>
          <t>Insight iXlW00001C0000183R0080105531S00000364P01576LAocjBAQBF1NjaVRlZ2ljLmRhdGEuTW9sZWN1bGUBbwF/ARJTY2lUZWdpYy5Nb2xlY3VsZQAAAQFkAv5qAQAAAAIAAgEVAREAAAD8/AD8AAIAAAAAAADwvwAAAAAAABgAAAD8/AD8AAIAAAAAAADwvwKAt0CC4sf0vwJ2cRsN4C3ovwAAAAAYAAAA/PwA/AACAAAAAAAA8L8CgLdAguLH9L8CQ61p3nEKAsAAAAAAGAAAAPz8APwAAgAAAAAAAPC/AkjhehSuxwTAAu0NvjCZKoi/AAAAABwAAAD8/AD8AAIAAAAAAADwvwJI4XoUrscEwALZX3ZPHhYIwAAAAAAYAAAA/PwA/AACAAAAAAAA8L8AAsuhRbbz/QfAAAAAABwAAAD8/AD8AAIAAAAAAADwvwJI4XoUrscEwAKvJeSDns33PwAAAAAYAAAA/PwA/AACAAAAAAAA8L8CCD2bVZ8rD8ACkML1KFyP6L8AAAAAGAAAAPz8APwAAgAAAAAAAPC/Agg9m1WfKw/AAlFrmnecIgLAAAAAACAAAAD8/AD8AAIAAAAAAADwvwKAt0CC4sf0PwI17zhFR/IBwAAAAAAgAAAA/PwA/AACAAAAAAAA8L8AAlg5tMh2/hHAAAAAABgAAAD8/AD8AAIAAAAAAADwvwJkzF1LyMcUwALnHafoSC4IwAAAAAAYAAAA/PwA/AACAAAAAAAA8L8CKA8Ltab5GcACl/+Qfvs6AsAAAAAAGAAAAPz8APwAAgAAAAAAAPC/AmTMXUvIxxTAAmb35GGhFhLAAAAAACQAAAD8/AD8AAIAAAAAAADwvwIoDwu1pvkZwALHuriNBvDovwAAAAAYAAAA/PwA/AACAAAAAAAA8L8CCD2bVZ8rH8AC9dvXgXNGCMAAAAAAGAAAAPz8APwAAgAAAAAAAPC/AigPC7Wm+RnAApVliGNdHBXAAAAAACAAAAD8/AD8AAIAAAAAAADwvwJ0tRX7yy4iwAKlvcEXJlMCwAAAAAAYAAAA/PwA/AACAAAAAAAA8L8CCD2bVZ8rH8ACbVZ9rrYiEsAAAAAAGAAAAPz8APwAAgAAAAAAAPC/AmTMXUvIxyTAAgOaCBueXgjAAAAAAAERAAAA/PwA/AACAAAAAAAA8L8CdLUV+8suIsACnMQgsHIoFcAAAAAAARYABAFlBAAAAAAAAAAABAgBZQgMAAAAAAAAAAQMAWUEAAAAAAAAAAAIEAFlBAAAAAAAAAAACBQBZQQAAAAAAAAAAAwYAWUEAAAAAAAAAAAMHAFlCAgAAAAAAAAAECABZQgMAAAAAAAAABQkAWUIAAAAAAAAAAAUKAFlBAAAAAAAAAAAICwBZQQAAAAAAAAAACwwAWUICAAAAAAAAAAsNAFlBAAAAAAAAAAAMDgBZQQAAAAAAAAAADA8AWUEAAAAAAAAAAA0ARABZQgIAAAAAAAAADwBEQFlBAAAAAAAAAAAPAESAWUIDAAAAAAAAAABEQETAWUEAAAAAAAAAAABEgEUAWUEAAAAAAAAAAAcIAFlBAAAAAAAAAAAARABEgFlBAAAAAAAAAAAAAAAAA==</t>
        </r>
      </text>
    </comment>
    <comment ref="A184" authorId="0" shapeId="0" xr:uid="{36CB6A36-9A84-4829-95F8-E2DDB8B2C4ED}">
      <text>
        <r>
          <rPr>
            <sz val="9"/>
            <color indexed="81"/>
            <rFont val="Segoe UI"/>
            <charset val="1"/>
          </rPr>
          <t>Insight iXlW00001C0000184R0080105531S00000366P02112LAocjBAQBF1NjaVRlZ2ljLmRhdGEuTW9sZWN1bGUBbwF/ARJTY2lUZWdpYy5Nb2xlY3VsZQAAAQFkAv5qAQAAAAIAAgEcAREAAAD8/AD8AAIAAAAAAADwvwAAAAAAABgAAAD8/AD8AAIAAAAAAADwvwI4Z0Rpb/D1PwIIPZtVn6vjPwAAAAAcAAAA/PwA/AACAAAAAAAA8L8CrBxaZDtfBUACg1FJnYAmwr8AAAAAGAAAAPz8APwAAgAAAAAAAPC/AkJg5dAi2/o/AobJVMGopABAAAAAABwAAAD8/AD8AAIAAAAAAADwvwL7y+7Jw0IOQAIi/fZ14JzrPwAAAAAYAAAA/PwA/AACAAAAAAAA8L8CufyH9NtXCUAC5fIf0m/fAUAAAAAAGAAAAPz8APwAAgAAAAAAAPC/AgFvgQTFj+U/Ag5Pr5RliAlAAAAAABgAAAD8/AD8AAIAAAAAAADwvwIgY+5aQv4UQAIPC7WmecfhPwAAAAABEAAAAPz8APwAAgAAAAAAAPC/AhRhw9MrZQ9AAvXb14FzRgxAAAAAACAAAAD8/AD8AAIAAAAAAADwvwJHA3gLJCjyPwKUh4Va03wSQAAAAAAgAAAA/PwA/AACAAAAAAAA8L8C8tJNYhBY6b8CUfwYc9cSB0AAAAAAIAAAAPz8APwAAgAAAAAAAPC/AjxO0ZFc/gRAAiFB8WPMHRFAAAAAACAAAAD8/AD8AAIAAAAAAADwvwKwA+eMKK0SQAJm9+RhoVYTQAAAAAAcAAAA/PwA/AACAAAAAAAA8L8CEqW9wRfmFEACqTXNO05RBkAAAAAAGAAAAPz8APwAAgAAAAAAAPC/AjuSy39Iv/y/AtiBc0aU9g9AAAAAABgAAAD8/AD8AAIAAAAAAADwvwKamZmZmRkaQAL129eBc0YMQAAAAAAgAAAA/PwA/AACAAAAAAAA8L8CmpmZmZkZGkACTvOOU3QkFEAAAAAAHAAAAPz8APwAAgAAAAAAAPC/AgajkjoBTR9AAqk1zTtOUQZAAAAAABgAAAD8/AD8AAIAAAAAAADwvwLHSzeJQUAiQAL129eBc0YMQAAAAAAcAAAA/PwA/AACAAAAAAAA8L8Cx0s3iUFAIkACTvOOU3QkFEAAAAAAHAAAAPz8APwAAgAAAAAAAPC/AgtGJXUC2iRAAqk1zTtOUQZAAAAAABgAAAD8/AD8AAIAAAAAAADwvwILRiV1AtokQAJ7pSxDHCsXQAAAAAAYAAAA/PwA/AACAAAAAAAA8L8CwcqhRbZzJ0AC9dvXgXNGDEAAAAAAIAAAAPz8APwAAgAAAAAAAPC/AgtGJXUC2iRAAs6qz9VWLB1AAAAAABgAAAD8/AD8AAIAAAAAAADwvwLByqFFtnMnQAJO845TdCQUQAAAAAAgAAAA/PwA/AACAAAAAAAA8L8CBcWPMXcNKkACqTXNO05RBkAAAAAAGAAAAPz8APwAAgAAAAAAAPC/AsdLN4lBQCJAAvp+arx0EyBAAAAAABgAAAD8/AD8AAIAAAAAAADwvwIFxY8xdw0qQAKTqYJRSZ30PwAAAAABHQAEAWUEAAAAAAAAAAAECAFlCAwAAAAAAAAABAwBZQQAAAAAAAAAAAgQAWUEAAAAAAAAAAAMFAFlCAwAAAAAAAAADBgBZQQAAAAAAAAAABAcAWUEAAAAAAAAAAAUIAFlBAAAAAAAAAAAGCQBZQgAAAAAAAAAABgoAWUEAAAAAAAAAAAgLAFlCAAAAAAAAAAAIDABZQgAAAAAAAAAACA0AWUEAAAAAAAAAAAoOAFlBAAAAAAAAAAANDwBZQQAAAAAAAAAADwBEAFlCAAAAAAAAAAAPAERAWUEAAAAAAAAAAABEQESAWUEAAAAAAAAAAABEgETAWUIDAAAAAAAAAABEgEUAWUEAAAAAAAAAAABEwEVAWUEAAAAAAAAAAABFAEWAWUIDAAAAAAAAAABFQEXAWUEAAAAAAAAAAABFQEYAWUICAAAAAAAAAABFgEZAWUEAAAAAAAAAAABFwEaAWUEAAAAAAAAAAABGQEbAWUEAAAAAAAAAAAQFAFlBAAAAAAAAAAAARYBGAFlBAAAAAAAAAAAAAAAAA==</t>
        </r>
      </text>
    </comment>
    <comment ref="A185" authorId="0" shapeId="0" xr:uid="{FCCBA2FB-630C-48C6-9CF6-C878371F896D}">
      <text>
        <r>
          <rPr>
            <sz val="9"/>
            <color indexed="81"/>
            <rFont val="Segoe UI"/>
            <charset val="1"/>
          </rPr>
          <t>Insight iXlW00001C0000185R0080105531S00000368P01868LAocjBAQBF1NjaVRlZ2ljLmRhdGEuTW9sZWN1bGUBbwF/ARJTY2lUZWdpYy5Nb2xlY3VsZQAAAQFkAv5qAQAAAAIAAgEZAREAAAD8/AD8AAIAAAAAAADwvwAAAAAAABgAAAD8/AD8AAIAAAAAAADwvwACcayL22gA+L8AAAAAGAAAAPz8APwAAgAAAAAAAPC/ArYV+8vuyfQ/AmpN845T9AHAAAAAABgAAAD8/AD8AAIAAAAAAADwvwK2FfvL7sn0vwJqTfOOU/QBwAAAAAAgAAAA/PwA/AACAAAAAAAA8L8CthX7y+7JBEACcayL22gA+L8AAAAAHAAAAPz8APwAAgAAAAAAAPC/ArYV+8vuyfQ/AqMjufyH9A3AAAAAABgAAAD8/AD8AAIAAAAAAADwvwK2FfvL7sn0vwKjI7n8h/QNwAAAAAAYAAAA/PwA/AACAAAAAAAA8L8CkaD4MeYuD0ACak3zjlP0AcAAAAAAGAAAAPz8APwAAgAAAAAAAPC/AAJVwaikTgASwAAAAAAYAAAA/PwA/AACAAAAAAAA8L8CthX7y+7JBMACVcGopE4AEsAAAAAAGAAAAPz8APwAAgAAAAAAAPC/AtIA3gIJyhRAAnGsi9toAPi/AAAAABgAAAD8/AD8AAIAAAAAAADwvwKRoPgx5i4PQAKjI7n8h/QNwAAAAAAkAAAA/PwA/AACAAAAAAAA8L8CkaD4MeYuD8ACoyO5/If0DcAAAAAAJAAAAPz8APwAAgAAAAAAAPC/ArYV+8vuyQTAAo6XbhKDABjAAAAAACQAAAD8/AD8AAIAAAAAAADwvwKRoPgx5i4PwALufD81XvoUwAAAAAAYAAAA/PwA/AACAAAAAAAA8L8CP8bctYT8GUACak3zjlP0AcAAAAAAGAAAAPz8APwAAgAAAAAAAPC/AtIA3gIJyhRAAlXBqKROABLAAAAAABgAAAD8/AD8AAIAAAAAAADwvwI/xty1hPwZQAKjI7n8h/QNwAAAAAAgAAAA/PwA/AACAAAAAAAA8L8CrYvbaAAvH0ACVcGopE4AEsAAAAAAGAwAAPz8APwAAgAAAAAAAPC/Aq2L22gALx9AAo6XbhKDABjAAAAAABgAAAD8/AD8AAIAAAAAAADwvwKNKO0NvjAiQAIKaCJsePoawAAAAAAYAAAA/PwA/AACAAAAAAAA8L8CP8bctYT8GUACCmgibHj6GsAAAAAAIAAAAPz8APwAAgAAAAAAAPC/AkSLbOf7ySRAAo6XbhKDABjAAAAAACAAAAD8/AD8AAIAAAAAAADwvwKNKO0NvjAiQAKTqYJRSX0gwAAAAAAYAAAA/PwA/AACAAAAAAAA8L8CRIts5/vJJEAC4zYawFsAIsAAAAAAARo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CAwAAAAAAAAAAREBEgFlBAAAAAAAAAAAARIBEwFlBAAAAAAAAAAAARMBFAFlBAAAAAAAAAAAARMBFQFlBBQAAAAAAAAAARQBFgFlCAAAAAAAAAAAARQBFwFlBAAAAAAAAAAAARcBGAFlBAAAAAAAAAAAGCABZQQAAAAAAAAAAAEQAREBZQQAAAAAAAAAAAAAAAA=</t>
        </r>
      </text>
    </comment>
    <comment ref="A186" authorId="0" shapeId="0" xr:uid="{9C3526CA-D8E5-4CFA-8611-D952ECBAFD83}">
      <text>
        <r>
          <rPr>
            <sz val="9"/>
            <color indexed="81"/>
            <rFont val="Segoe UI"/>
            <charset val="1"/>
          </rPr>
          <t>Insight iXlW00001C0000186R0080105531S00000370P01320LAocjBAQBF1NjaVRlZ2ljLmRhdGEuTW9sZWN1bGUBbwF/ARJTY2lUZWdpYy5Nb2xlY3VsZQAAAQFkAv5qAQAAAAIAAgESIAAAAPz8APwAAgAAAAAAAPC/AAAAAAAAGAAAAPz8APwAAgAAAAAAAPC/AAJDPujZrPr3vwAAAAAcAAAA/PwA/AACAAAAAAAA8L8C+FPjpZvE9D8CnaIjufwHAsAAAAAAHAAAAPz8APwAAgAAAAAAAPC/AvhT46WbxPS/Ap2iI7n8BwLAAAAAABgAAAD8/AD8AAIAAAAAAADwvwL4U+Olm8T0PwKG61G4HgUOwAAAAAAYAAAA/PwA/AACAAAAAAAA8L8C+FPjpZvE9L8ChutRuB4FDsAAAAAAGAAAAPz8APwAAgAAAAAAAPC/AjEqqRPQxATAAkM+6Nms+ve/AAAAABwAAAD8/AD8AAIAAAAAAADwvwACnaIjufwHEsAAAAAAHAAAAPz8APwAAgAAAAAAAPC/AjEqqRPQxARAAp2iI7n8BxLAAAAAACAAAAD8/AD8AAIAAAAAAADwvwIxKqkT0MQEwAKdoiO5/AcSwAAAAAAYAAAA/PwA/AACAAAAAAAA8L8CMSqpE9DEBMAAAAAAABgAAAD8/AD8AAIAAAAAAADwvwIt1JrmHScPwAKdoiO5/AcCwAAAAAAYAAAA/PwA/AACAAAAAAAA8L8AAhHHuriNBhjAAAAAABgAAAD8/AD8AAIAAAAAAADwvwIt1JrmHScPQAKG61G4HgUOwAAAAAAYAAAA/PwA/AACAAAAAAAA8L8CMSqpE9DEBEACEce6uI0GGMAAAAAAGAAAAPz8APwAAgAAAAAAAPC/Ai3UmuYdJw/AArYV+8vuyec/AAAAABgAAAD8/AD8AAIAAAAAAADwvwIxKqkT0MQUwAJDPujZrPr3vwAAAAAYAAAA/PwA/AACAAAAAAAA8L8CMSqpE9DEFMAAAAAAAAETAAQBZQgAAAAAAAAAAAQIAWUEAAAAAAAAAAAEDAFlBAAAAAAAAAAACBABZQgIAAAAAAAAAAwUAWUEAAAAAAAAAAAMGAFlBAAAAAAAAAAAEBwBZQQAAAAAAAAAABAgAWUEAAAAAAAAAAAUJAFlCAAAAAAAAAAAGCgBZQQAAAAAAAAAABgsAWUEAAAAAAAAAAAcMAFlBAAAAAAAAAAAIDQBZQQAAAAAAAAAACA4AWUEAAAAAAAAAAAoPAFlBAAAAAAAAAAALAEQAWUEAAAAAAAAAAA8AREBZQQAAAAAAAAAABQcAWUEAAAAAAAAAAABEAERAWUEAAAAAAAAAAAAAAAA</t>
        </r>
      </text>
    </comment>
    <comment ref="A187" authorId="0" shapeId="0" xr:uid="{4A9B3461-D3A1-41E5-90DE-FBBE554E8AD5}">
      <text>
        <r>
          <rPr>
            <sz val="9"/>
            <color indexed="81"/>
            <rFont val="Segoe UI"/>
            <charset val="1"/>
          </rPr>
          <t>Insight iXlW00001C0000187R0080105531S00000372P02032LAocjBAQBF1NjaVRlZ2ljLmRhdGEuTW9sZWN1bGUBbwF/ARJTY2lUZWdpYy5Nb2xlY3VsZQAAAQFkAv5qAQAAAAIBAgEbJAAAAPz8APwAAgAAAAAAAPC/AAAAAAAAGAAAAPz8APwAAgAAAAAAAPC/AALaPXlYqDX4PwAAAAAYAAAA/PwA/AACAAAAAAAA8L8CnDOitDf49L8CQKTfvg4cAkAAAAAAGAAAAPz8APwAAgAAAAAAAPC/Ag8LtaZ5x/Q/AkCk374OHAJAAAAAABgAAAD8/AD8AAIAAAAAAADwvwKcM6K0N/j0vwJmGeJYFzcOQAAAAAAYAAAA/PwA/AACAAAAAAAA8L8CDwu1pnnH9D8CH4XrUbgeDkAAAAAAJAAAAPz8APwAAgAAAAAAAPC/ApwzorQ3+ATAAlyPwvUoHBJAAAAAABgAAAD8/AD8AAIAAAAAAADwvwACXI/C9SgcEkAAAAAAGAAAAPz8APwAAgAAAAAAAPC/Alafq63Y3wRAAjlFR3L5DxJAAAAAABwAAAD8/AD8AAIAAAAAAADwvwLLMsSxLu4PQAKlTkATYUMPQAAAAAAYAAAA/PwA/AACAAAAAAAA8L8CIv32deAcBkACjErqBDQRGEAAAAAAIAAAAPz8APwAAgAAAAAAAPC/AoenV8oyBBRAAs07TtGRHBRAAAAAABgIAAD8/AD8AAIAAAAAAADwvwKe76fGS/cQQAKRfvs6cE4ZQAAAAAAYAAAA/PwA/AACAAAAAAAA8L8CzqrP1VbsFkACZ9Xnais2GkAAAAAAGAAAAPz8APwAAgAAAAAAAPC/AintDb4wWRJAAuWDns2qTx9AAAAAACAAAAD8/AD8AAIAAAAAAADwvwJ8YTJVMCobQALVCWgibPgVQAAAAAAcAAAA/PwA/AACAAAAAAAA8L8CufyH9NuXGkACdnEbDeDtHUAAAAAAGAAAAPz8APwAAgAAAAAAAPC/AvVsVn2uNgxAAkqdgCbCxiFAAAAAABgMAAD8/AD8AAIAAAAAAADwvwIGgZVDi0wgQAJ2cRsN4O0dQAAAAAAYAAAA/PwA/AACAAAAAAAA8L8CfPKwUGs6IUACbef7qfHSIUAAAAAAGAAAAPz8APwAAgAAAAAAAPC/AtGzWfW5uiJAAhDpt68DZxpAAAAAACAAAAD8/AD8AAIAAAAAAADwvwImdQKaCDskQAJt5/up8dIhQAAAAAAYCAAA/PwA/AACAAAAAAAA8L8CKVyPwvUoJUACdnEbDeDtHUAAAAAAGAAAAPz8APwAAgAAAAAAAPC/AoxK6gQ0EShAAl5LyAc9WxxAAAAAACAAAAD8/AD8AAIAAAAAAADwvwLkpZvEIDAqQAIGgZVDi0wgQAAAAAAgAAAA/PwA/AACAAAAAAAA8L8CCmgibHjaKEACmG4Sg8CKFkAAAAAAGAAAAPz8APwAAgAAAAAAAPC/Am1Wfa62witAAoBIv30d+BRAAAAAAAEdAAQBZQQAAAAAAAAAAAQIAWUIDAAAAAAAAAAEDAFlBAAAAAAAAAAACBABZQQAAAAAAAAAAAwUAWUIDAAAAAAAAAAQGAFlBAAAAAAAAAAAEBwBZQgIAAAAAAAAABQgAWUEAAAAAAAAAAAgJAFlCAwAAAAAAAAAICgBZQQAAAAAAAAAACQsAWUEAAAAAAAAAAAoMAFlBAAAAAAAAAAAMDQBZQQUAAAAAAAAADA4AWUEAAAAAAAAAAA0PAFlCAAAAAAAAAAANAEQAWUEAAAAAAAAAAA4AREBZQgAAAAAAAAAAAESARABZQQUAAAAAAAAAAESARMBZQQAAAAAAAAAAAESARQBZQQAAAAAAAAAAAETARUBZQQAAAAAAAAAAAEUARYBZQQAAAAAAAAAAAEWARcBZQQUAAAAAAAAAAEXARgBZQgAAAAAAAAAAAEXARkBZQQAAAAAAAAAAAEZARoBZQQAAAAAAAAAABQcAWUEAAAAAAAAAAAsMAFlBAAAAAAAAAAAARUBFgFlBAAAAAAAAAAAAAAAAA==</t>
        </r>
      </text>
    </comment>
    <comment ref="A188" authorId="0" shapeId="0" xr:uid="{5457C490-FF2C-49DA-805C-3F8CFA1E467C}">
      <text>
        <r>
          <rPr>
            <sz val="9"/>
            <color indexed="81"/>
            <rFont val="Segoe UI"/>
            <charset val="1"/>
          </rPr>
          <t>Insight iXlW00001C0000188R0080105531S00000374P01592LAocjBAQBF1NjaVRlZ2ljLmRhdGEuTW9sZWN1bGUBbwF/ARJTY2lUZWdpYy5Nb2xlY3VsZQAAAQFkAv5qAQAAAAIAAgEVIAAAAPz8APwAAgAAAAAAAPC/AAAAAAAAGAAAAPz8APwAAgAAAAAAAPC/Avd14JwRpeO/AkZHcvkP6fU/AAAAABwAAAD8/AD8AAIAAAAAAADwvwKQMXctIZ8AwAKLjuTyH9L6PwAAAAAYCAAA/PwA/AACAAAAAAAA8L8C++3rwDkjwj8CufyH9NtXBUAAAAAAGAAAAPz8APwAAgAAAAAAAPC/AkXY8PRK2QHAAnPXEvJBTwlAAAAAABwAAAD8/AD8AAIAAAAAAADwvwJrK/aX3ZPrvwLx9EpZhjgOQAAAAAAYAAAA/PwA/AACAAAAAAAA8L8Cw2SqYFRS8j8C8fRKWYY4DkAAAAAAGAAAAPz8APwAAgAAAAAAAPC/AirLEMe6uPU/AobrUbgehfw/AAAAABgAAAD8/AD8AAIAAAAAAADwvwKUh4Va0zwMwAKY3ZOHhVoPQAAAAAAYAAAA/PwA/AACAAAAAAAA8L8CRkdy+Q/p5T8Cbef7qfHSFEAAAAAAGAAAAPz8APwAAgAAAAAAAPC/AnRGlPYG3wRAAhb7y+7JwwtAAAAAABgAAAD8/AD8AAIAAAAAAADwvwKUh4Va0zwMwAIGgZVDi6wVQAAAAAAYAAAA/PwA/AACAAAAAAAA8L8CVTAqqRNQE8ACc9cS8kFPCUAAAAAAGAAAAPz8APwAAgAAAAAAAPC/AkXY8PRK2QHAAhkEVg4tshhAAAAAABgAAAD8/AD8AAIAAAAAAADwvwJVMCqpE1ATwAIZBFYOLbIYQAAAAAAYAAAA/PwA/AACAAAAAAAA8L8C4ZwRpb2BGMACmN2Th4VaD0AAAAAAIAAAAPz8APwAAgAAAAAAAPC/Arr8h/Tb1+2/AgaBlUOLrBVAAAAAACAAAAD8/AD8AAIAAAAAAADwvwJF2PD0StkBwAI3qz5XW7EeQAAAAAAYAAAA/PwA/AACAAAAAAAA8L8C4ZwRpb2BGMACBoGVQ4usFUAAAAAAGAAAAPz8APwAAgAAAAAAAPC/Aoj029eBsx3AAnPXEvJBTwlAAAAAABgAAAD8/AD8AAIAAAAAAADwvwK6/If029ftvwKhZ7Pqc9UgQAAAAAABFgAEAWUIAAAAAAAAAAAECAFlBAAAAAAAAAAABAwBZQQAAAAAAAAAAAgQAWUEAAAAAAAAAAAMFAFlBAAAAAAAAAAADBgBZQQAAAAAAAAAAAwcAWUEFAAAAAAAAAAQIAFlBAAAAAAAAAAAGCQBZQQAAAAAAAAAABgoAWUEAAAAAAAAAAAgLAFlCAgAAAAAAAAAIDABZQQAAAAAAAAAACw0AWUEAAAAAAAAAAAsOAFlBAAAAAAAAAAAMDwBZQgMAAAAAAAAADQBEAFlCAAAAAAAAAAANAERAWUEAAAAAAAAAAA4ARIBZQgIAAAAAAAAADwBEwFlBAAAAAAAAAAAAREBFAFlBAAAAAAAAAAAEBQBZQgIAAAAAAAAADwBEgFlBAAAAAAAAAAAAAAAAA==</t>
        </r>
      </text>
    </comment>
    <comment ref="A189" authorId="0" shapeId="0" xr:uid="{A67BA6E6-51D0-4981-829B-EDC3B233A64C}">
      <text>
        <r>
          <rPr>
            <sz val="9"/>
            <color indexed="81"/>
            <rFont val="Segoe UI"/>
            <charset val="1"/>
          </rPr>
          <t>Insight iXlW00001C0000189R0080105531S00000376P01664LAocjBAQBF1NjaVRlZ2ljLmRhdGEuTW9sZWN1bGUBbwF/ARJTY2lUZWdpYy5Nb2xlY3VsZQAAAQFkAv5qAQAAAAIAAgEWIAAAAPz8APwAAgAAAAAAAPC/AAAAAAAAGAAAAPz8APwAAgAAAAAAAPC/AkSLbOf7qeO/AnS1FfvL7vU/AAAAABwAAAD8/AD8AAIAAAAAAADwvwIzxLEubqMAwAINAiuHFtn6PwAAAAAYCAAA/PwA/AACAAAAAAAA8L8CpHA9CtejwD8CsJRliGNdBUAAAAAAGAAAAPz8APwAAgAAAAAAAPC/AlkXt9EA3gHAAoSezarPVQlAAAAAABwAAAD8/AD8AAIAAAAAAADwvwKWQ4ts5/vrvwJVwaikTkAOQAAAAAAYAAAA/PwA/AACAAAAAAAA8L8Cg1FJnYAm8j8CVcGopE5ADkAAAAAAGAAAAPz8APwAAgAAAAAAAPC/AssQx7q4jfU/Aum3rwPnjPw/AAAAABgAAAD8/AD8AAIAAAAAAADwvwKHp1fKMkQMwAJfmEwVjEoPQAAAAAAYAAAA/PwA/AACAAAAAAAA8L8CPb1SliGO5T8CR5T2Bl/YFEAAAAAAGAAAAPz8APwAAgAAAAAAAPC/AiRKe4MvzARAAgkbnl4pywtAAAAAABwAAAD8/AD8AAIAAAAAAADwvwK+MJkqGFUTwAKEns2qz1UJQAAAAAAYAAAA/PwA/AACAAAAAAAA8L8Ch6dXyjJEDMACEqW9wRemFUAAAAAAGAAAAPz8APwAAgAAAAAAAPC/AtV46SYxiBjAAl+YTBWMSg9AAAAAABgAAAD8/AD8AAIAAAAAAADwvwJZF7fRAN4BwALqlbIMcawYQAAAAAAYAAAA/PwA/AACAAAAAAAA8L8CvjCZKhhVE8AC6pWyDHGsGEAAAAAAGAAAAPz8APwAAgAAAAAAAPC/AtV46SYxiBjAAhKlvcEXphVAAAAAACAAAAD8/AD8AAIAAAAAAADwvwJZF7fRAN4BwALM7snDQq0eQAAAAAAgAAAA/PwA/AACAAAAAAAA8L8CrBxaZDvf7b8CEqW9wRemFUAAAAAAGAAAAPz8APwAAgAAAAAAAPC/AuzAOSNKux3AAuqVsgxxrBhAAAAAACAAAAD8/AD8AAIAAAAAAADwvwLswDkjSrsdwALM7snDQq0eQAAAAAAYAAAA/PwA/AACAAAAAAAA8L8C9I5TdCR3IcAC3bWEfNDTIEAAAAAAARcABAFlCAAAAAAAAAAABAgBZQQAAAAAAAAAAAQMAWUEAAAAAAAAAAAIEAFlBAAAAAAAAAAADBQBZQQAAAAAAAAAAAwYAWUEAAAAAAAAAAAMHAFlBBQAAAAAAAAAECABZQQAAAAAAAAAABgkAWUEAAAAAAAAAAAYKAFlBAAAAAAAAAAAICwBZQgMAAAAAAAAACAwAWUEAAAAAAAAAAAsNAFlBAAAAAAAAAAAMDgBZQQAAAAAAAAAADA8AWUICAAAAAAAAAA0ARABZQgMAAAAAAAAADgBEQFlCAAAAAAAAAAAOAESAWUEAAAAAAAAAAABEAETAWUEAAAAAAAAAAABEwEUAWUEAAAAAAAAAAABFAEVAWUEAAAAAAAAAAAQFAFlCAgAAAAAAAAAPAEQAWUEAAAAAAAAAAAAAAAA</t>
        </r>
      </text>
    </comment>
    <comment ref="A190" authorId="0" shapeId="0" xr:uid="{4905718D-BF44-4BD8-92E1-F5900288476F}">
      <text>
        <r>
          <rPr>
            <sz val="9"/>
            <color indexed="81"/>
            <rFont val="Segoe UI"/>
            <charset val="1"/>
          </rPr>
          <t>Insight iXlW00001C0000190R0080105531S00000378P01520LAocjBAQBF1NjaVRlZ2ljLmRhdGEuTW9sZWN1bGUBbwF/ARJTY2lUZWdpYy5Nb2xlY3VsZQAAAQFkAv5qAQAAAAIAAgEUIAAAAPz8APwAAgAAAAAAAPC/AAAAAAAAGAAAAPz8APwAAgAAAAAAAPC/AkSLbOf7qeO/AgMJih9j7vU/AAAAABwAAAD8/AD8AAIAAAAAAADwvwL67evAOaMAwAKcVZ+rrdj6PwAAAAAYCAAA/PwA/AACAAAAAAAA8L8CpHA9CtejwD8Cd76fGi9dBUAAAAAAGAAAAPz8APwAAgAAAAAAAPC/AiFB8WPM3QHAAkzIBz2bVQlAAAAAABwAAAD8/AD8AAIAAAAAAADwvwK06nO1FfvrvwId6+I2GkAOQAAAAAAYAAAA/PwA/AACAAAAAAAA8L8Cg1FJnYAm8j8CHeviNhpADkAAAAAAGAAAAPz8APwAAgAAAAAAAPC/AssQx7q4jfU/AngLJCh+jPw/AAAAABgAAAD8/AD8AAIAAAAAAADwvwIW+8vuyUMMwALu68A5I0oPQAAAAAAYAAAA/PwA/AACAAAAAAAA8L8CWmQ730+N5T8CDr4wmSrYFEAAAAAAGAAAAPz8APwAAgAAAAAAAPC/AutztRX7ywRAAphuEoPAygtAAAAAABwAAAD8/AD8AAIAAAAAAADwvwKGWtO841QTwAJMyAc9m1UJQAAAAAAYAAAA/PwA/AACAAAAAAAA8L8CFvvL7slDDMACveMUHcmlFUAAAAAAGAAAAPz8APwAAgAAAAAAAPC/AoG3QILihxjAAu7rwDkjSg9AAAAAABgAAAD8/AD8AAIAAAAAAADwvwIhQfFjzN0BwAKyv+yePKwYQAAAAAAYAAAA/PwA/AACAAAAAAAA8L8ChlrTvONUE8ACsr/snjysGEAAAAAAGAAAAPz8APwAAgAAAAAAAPC/AoG3QILihxjAAr3jFB3JpRVAAAAAACAAAAD8/AD8AAIAAAAAAADwvwIhQfFjzN0BwAJ4LSEf9KweQAAAAAAgAAAA/PwA/AACAAAAAAAA8L8CrBxaZDvf7b8CveMUHcmlFUAAAAAAGAAAAPz8APwAAgAAAAAAAPC/Apj/kH77uh3AArK/7J48rBhAAAAAAAEVAAQBZQgAAAAAAAAAAAQIAWUEAAAAAAAAAAAEDAFlBAAAAAAAAAAACBABZQQAAAAAAAAAAAwUAWUEAAAAAAAAAAAMGAFlBAAAAAAAAAAADBwBZQQUAAAAAAAAABAgAWUEAAAAAAAAAAAYJAFlBAAAAAAAAAAAGCgBZQQAAAAAAAAAACAsAWUIDAAAAAAAAAAgMAFlBAAAAAAAAAAALDQBZQQAAAAAAAAAADA4AWUEAAAAAAAAAAAwPAFlCAgAAAAAAAAANAEQAWUIDAAAAAAAAAA4AREBZQgAAAAAAAAAADgBEgFlBAAAAAAAAAAAARABEwFlBAAAAAAAAAAAEBQBZQgIAAAAAAAAADwBEAFlBAAAAAAAAAAAAAAAAA==</t>
        </r>
      </text>
    </comment>
    <comment ref="A191" authorId="0" shapeId="0" xr:uid="{1B163399-8C40-4DB3-BE27-928F16969999}">
      <text>
        <r>
          <rPr>
            <sz val="9"/>
            <color indexed="81"/>
            <rFont val="Segoe UI"/>
            <charset val="1"/>
          </rPr>
          <t>Insight iXlW00001C0000191R0080105531S00000380P01444LAocjBAQBF1NjaVRlZ2ljLmRhdGEuTW9sZWN1bGUBbwF/ARJTY2lUZWdpYy5Nb2xlY3VsZQAAAQFkAv5qAQAAAAIAAgETIAAAAPz8APwAAgAAAAAAAPC/AAAAAAAAGAAAAPz8APwAAgAAAAAAAPC/AkSLbOf7qeO/AuVhodY07/U/AAAAABwAAAD8/AD8AAIAAAAAAADwvwKkcD0K16MAwALvWkI+6Nn6PwAAAAAYCAAA/PwA/AACAAAAAAAA8L8CpHA9CtejwD8CWRe30QBeBUAAAAAAGAAAAPz8APwAAgAAAAAAAPC/AsrDQq1p3gHAAi4hH/RsVglAAAAAABwAAAD8/AD8AAIAAAAAAADwvwKWQ4ts5/vrvwL/Q/rt60AOQAAAAAAYAAAA/PwA/AACAAAAAAAA8L8C9P3UeOkm8j8C/0P67etADkAAAAAAGAAAAPz8APwAAgAAAAAAAPC/Aj29UpYhjvU/AlpkO99Pjfw/AAAAABgAAAD8/AD8AAIAAAAAAADwvwIxKqkT0EQMwAIJG55eKUsPQAAAAAAYAAAA/PwA/AACAAAAAAAA8L8CPb1SliGO5T8CuECC4sfYFEAAAAAAGAAAAPz8APwAAgAAAAAAAPC/As3MzMzMzARAArOd76fGywtAAAAAABwAAAD8/AD8AAIAAAAAAADwvwIv3SQGgVUTwAIuIR/0bFYJQAAAAAAYAAAA/PwA/AACAAAAAAAA8L8CMSqpE9BEDMACg1FJnYCmFUAAAAAAGAAAAPz8APwAAgAAAAAAAPC/AmMQWDm0iBjAAgkbnl4pSw9AAAAAABgAAAD8/AD8AAIAAAAAAADwvwLKw0Ktad4BwAKUGARWDq0YQAAAAAAYAAAA/PwA/AACAAAAAAAA8L8CL90kBoFVE8AClBgEVg6tGEAAAAAAGAAAAPz8APwAAgAAAAAAAPC/AmMQWDm0iBjAAoNRSZ2AphVAAAAAACAAAAD8/AD8AAIAAAAAAADwvwLKw0Ktad4BwAKSXP5D+q0eQAAAAAAgAAAA/PwA/AACAAAAAAAA8L8Cj3VxGw3g7b8Cg1FJnYCmFUAAAAAAARQABAFlCAAAAAAAAAAABAgBZQQAAAAAAAAAAAQMAWUEAAAAAAAAAAAIEAFlBAAAAAAAAAAADBQBZQQAAAAAAAAAAAwYAWUEAAAAAAAAAAAMHAFlBBQAAAAAAAAAECABZQQAAAAAAAAAABgkAWUEAAAAAAAAAAAYKAFlBAAAAAAAAAAAICwBZQgMAAAAAAAAACAwAWUEAAAAAAAAAAAsNAFlBAAAAAAAAAAAMDgBZQQAAAAAAAAAADA8AWUICAAAAAAAAAA0ARABZQgIAAAAAAAAADgBEQFlCAAAAAAAAAAAOAESAWUEAAAAAAAAAAAQFAFlCAgAAAAAAAAAPAEQAWUEAAAAAAAAAAAAAAAA</t>
        </r>
      </text>
    </comment>
    <comment ref="A192" authorId="0" shapeId="0" xr:uid="{DC240172-79C4-4CE7-B19E-6B9AC2EE4000}">
      <text>
        <r>
          <rPr>
            <sz val="9"/>
            <color indexed="81"/>
            <rFont val="Segoe UI"/>
            <charset val="1"/>
          </rPr>
          <t>Insight iXlW00001C0000192R0080105531S00000382P01756LAocjBAQBF1NjaVRlZ2ljLmRhdGEuTW9sZWN1bGUBbwF/ARJTY2lUZWdpYy5Nb2xlY3VsZQAAAQFkAv5qAQAAAAIAAgEXIAAAAPz8APwAAgAAAAAAAPC/AAAAAAAAGAAAAPz8APwAAgAAAAAAAPC/AkSLbOf7qeO/AgMJih9j7vU/AAAAABwAAAD8/AD8AAIAAAAAAADwvwL67evAOaMAwAKcVZ+rrdj6PwAAAAAYCAAA/PwA/AACAAAAAAAA8L8CpHA9CtejwD8Cd76fGi9dBUAAAAAAGAAAAPz8APwAAgAAAAAAAPC/AiFB8WPM3QHAAkzIBz2bVQlAAAAAABwAAAD8/AD8AAIAAAAAAADwvwK06nO1FfvrvwLkFB3J5T8OQAAAAAAYAAAA/PwA/AACAAAAAAAA8L8Cg1FJnYAm8j8C5BQdyeU/DkAAAAAAGAAAAPz8APwAAgAAAAAAAPC/AssQx7q4jfU/AngLJCh+jPw/AAAAABgAAAD8/AD8AAIAAAAAAADwvwIW+8vuyUMMwALu68A5I0oPQAAAAAAYAAAA/PwA/AACAAAAAAAA8L8CWmQ730+N5T8C8tJNYhDYFEAAAAAAGAAAAPz8APwAAgAAAAAAAPC/AutztRX7ywRAAphuEoPAygtAAAAAABwAAAD8/AD8AAIAAAAAAADwvwKGWtO841QTwAJMyAc9m1UJQAAAAAAYAAAA/PwA/AACAAAAAAAA8L8CFvvL7slDDMACveMUHcmlFUAAAAAAGAAAAPz8APwAAgAAAAAAAPC/AoG3QILihxjAAu7rwDkjSg9AAAAAABgAAAD8/AD8AAIAAAAAAADwvwIhQfFjzN0BwAKV1AloIqwYQAAAAAAYAAAA/PwA/AACAAAAAAAA8L8ChlrTvONUE8ACldQJaCKsGEAAAAAAGAAAAPz8APwAAgAAAAAAAPC/AoG3QILihxjAAr3jFB3JpRVAAAAAABgAAAD8/AD8AAIAAAAAAADwvwJ7FK5H4bodwAJMyAc9m1UJQAAAAAAgAAAA/PwA/AACAAAAAAAA8L8CIUHxY8zdAcACW0I+6NmsHkAAAAAAIAAAAPz8APwAAgAAAAAAAPC/AqwcWmQ73+2/Ar3jFB3JpRVAAAAAABgAAAD8/AD8AAIAAAAAAADwvwJ7FK5H4bodwAKV1AloIqwYQAAAAAAYAAAA/PwA/AACAAAAAAAA8L8Cu7iNBvB2IcAC7uvAOSNKD0AAAAAAGAAAAPz8APwAAgAAAAAAAPC/Aru4jQbwdiHAAr3jFB3JpRVAAAAAAAEZAAQBZQgAAAAAAAAAAAQIAWUEAAAAAAAAAAAEDAFlBAAAAAAAAAAACBABZQQAAAAAAAAAAAwUAWUEAAAAAAAAAAAMGAFlBAAAAAAAAAAADBwBZQQUAAAAAAAAABAgAWUEAAAAAAAAAAAYJAFlBAAAAAAAAAAAGCgBZQQAAAAAAAAAACAsAWUIDAAAAAAAAAAgMAFlBAAAAAAAAAAALDQBZQQAAAAAAAAAADA4AWUEAAAAAAAAAAAwPAFlCAgAAAAAAAAANAEQAWUIDAAAAAAAAAA0AREBZQQAAAAAAAAAADgBEgFlCAAAAAAAAAAAOAETAWUEAAAAAAAAAAABEAEUAWUEAAAAAAAAAAABEQEVAWUICAAAAAAAAAABFAEWAWUICAAAAAAAAAAQFAFlCAgAAAAAAAAAPAEQAWUEAAAAAAAAAAABFQEWAWUEAAAAAAAAAAAAAAAA</t>
        </r>
      </text>
    </comment>
    <comment ref="A193" authorId="0" shapeId="0" xr:uid="{81C306BB-7F7C-4EB3-AB6B-9CAD2D876E18}">
      <text>
        <r>
          <rPr>
            <sz val="9"/>
            <color indexed="81"/>
            <rFont val="Segoe UI"/>
            <charset val="1"/>
          </rPr>
          <t>Insight iXlW00001C0000193R0080105531S00000384P01592LAocjBAQBF1NjaVRlZ2ljLmRhdGEuTW9sZWN1bGUBbwF/ARJTY2lUZWdpYy5Nb2xlY3VsZQAAAQFkAv5qAQAAAAIAAgEVIAAAAPz8APwAAgAAAAAAAPC/AAAAAAAAGAAAAPz8APwAAgAAAAAAAPC/AmIyVTAqqeO/ApJc/kP67fU/AAAAABwAAAD8/AD8AAIAAAAAAADwvwKJQWDl0KIAwAK6/If029f6PwAAAAAYCAAA/PwA/AACAAAAAAAA8L8CpHA9CtejwD8CzTtO0ZFcBUAAAAAAGAAAAPz8APwAAgAAAAAAAPC/ArCUZYhj3QHAAmpv8IXJVAlAAAAAABwAAAD8/AD8AAIAAAAAAADwvwLSkVz+Q/rrvwICvAUSFD8OQAAAAAAYAAAA/PwA/AACAAAAAAAA8L8Cofgx5q4l8j8CArwFEhQ/DkAAAAAAGAAAAPz8APwAAgAAAAAAAPC/Aum3rwPnjPU/ApayDHGsi/w/AAAAABgAAAD8/AD8AAIAAAAAAADwvwI0orQ3+EIMwAIMk6mCUUkPQAAAAAAYAAAA/PwA/AACAAAAAAAA8L8CWmQ730+N5T8CZTvfT43XFEAAAAAAGAAAAPz8APwAAgAAAAAAAPC/AkHxY8xdywRAArYV+8vuyQtAAAAAABwAAAD8/AD8AAIAAAAAAADwvwL4wmSqYFQTwAJqb/CFyVQJQAAAAAAYAAAA/PwA/AACAAAAAAAA8L8CNKK0N/hCDMACFGHD0yulFUAAAAAAGAAAAPz8APwAAgAAAAAAAPC/ArtJDAIrhxjAAgyTqYJRSQ9AAAAAABgAAAD8/AD8AAIAAAAAAADwvwKwlGWIY90BwALsUbgehasYQAAAAAAYAAAA/PwA/AACAAAAAAAA8L8C+MJkqmBUE8AC7FG4HoWrGEAAAAAAGAAAAPz8APwAAgAAAAAAAPC/ArtJDAIrhxjAAhRhw9MrpRVAAAAAACAAAAD8/AD8AAIAAAAAAADwvwKwlGWIY90BwAJ56SYxCKweQAAAAAAgAAAA/PwA/AACAAAAAAAA8L8CysNCrWne7b8CFGHD0yulFUAAAAAAGAAAAPz8APwAAgAAAAAAAPC/Apm7lpAPuh3AAuxRuB6FqxhAAAAAABgAAAD8/AD8AAIAAAAAAADwvwK8lpAPenYhwAIUYcPTK6UVQAAAAAABFgAEAWUIAAAAAAAAAAAECAFlBAAAAAAAAAAABAwBZQQAAAAAAAAAAAgQAWUEAAAAAAAAAAAMFAFlBAAAAAAAAAAADBgBZQQAAAAAAAAAAAwcAWUEFAAAAAAAAAAQIAFlBAAAAAAAAAAAGCQBZQQAAAAAAAAAABgoAWUEAAAAAAAAAAAgLAFlCAwAAAAAAAAAIDABZQQAAAAAAAAAACw0AWUEAAAAAAAAAAAwOAFlBAAAAAAAAAAAMDwBZQgIAAAAAAAAADQBEAFlCAwAAAAAAAAAOAERAWUIAAAAAAAAAAA4ARIBZQQAAAAAAAAAAAEQARMBZQQAAAAAAAAAAAETARQBZQQAAAAAAAAAABAUAWUICAAAAAAAAAA8ARABZQQAAAAAAAAAAAAAAAA=</t>
        </r>
      </text>
    </comment>
    <comment ref="A194" authorId="0" shapeId="0" xr:uid="{59460497-CC58-4310-8FA5-C9C71EC2C02C}">
      <text>
        <r>
          <rPr>
            <sz val="9"/>
            <color indexed="81"/>
            <rFont val="Segoe UI"/>
            <charset val="1"/>
          </rPr>
          <t>Insight iXlW00001C0000194R0080105531S00000386P02056LAocjBAQBF1NjaVRlZ2ljLmRhdGEuTW9sZWN1bGUBbwF/ARJTY2lUZWdpYy5Nb2xlY3VsZQAAAQFkAv5qAQAAAAIAAgEbAREAAAD8/AD8AAIAAAAAAADwvwAAAAAAABgAAAD8/AD8AAIAAAAAAADwvwL99nXgnBHwPwLarPpcbcXxvwAAAAAcAAAA/PwA/AACAAAAAAAA8L8CylTBqKRO5j8CXkvIBz2bBMAAAAAAGAAAAPz8APwAAgAAAAAAAPC/AsRCrWne8QNAAhwN4C2QoO6/AAAAABgAAAD8/AD8AAIAAAAAAADwvwJQHhZqTfP/PwIPLbKd76cKwAAAAAABEAAAAPz8APwAAgAAAAAAAPC/AmdmZmZm5glAAnS1FfvL7tU/AAAAABwAAAD8/AD8AAIAAAAAAADwvwJcj8L1KNwIQAKQMXctIZ8CwAAAAAAYAAAA/PwA/AACAAAAAAAA8L8CdLUV+8tuAkACHHxhMlUwE8AAAAAAIAAAAPz8APwAAgAAAAAAAPC/AhdIUPwY8w9AAtc07zhFR/o/AAAAACAAAAD8/AD8AAIAAAAAAADwvwJUBaOSOgH/PwK+MJkqGJXxPwAAAAAcAAAA/PwA/AACAAAAAAAA8L8CEqW9wRcmEkAC1QloImx42r8AAAAAGAAAAPz8APwAAgAAAAAAAPC/AhKlvcEXJhJAAgIrhxbZTgbAAAAAABgAAAD8/AD8AAIAAAAAAADwvwI7cM6I0t4NQALVeOkmMQgVwAAAAAAYAAAA/PwA/AACAAAAAAAA8L8CDQIrhxZZF0ACdLUV+8vu1T8AAAAAGAAAAPz8APwAAgAAAAAAAPC/AlTjpZvEYBNAAhb7y+7JAxHAAAAAACAAAAD8/AD8AAIAAAAAAADwvwINAiuHFlkXQAIEeAskKH79PwAAAAAcAAAA/PwA/AACAAAAAAAA8L8C63O1FfuLHEACoWez6nO12b8AAAAAGAAAAPz8APwAAgAAAAAAAPC/AuXyH9Jv3yBAAnS1FfvL7tU/AAAAABwAAAD8/AD8AAIAAAAAAADwvwLl8h/Sb98gQAIEeAskKH79PwAAAAAcAAAA/PwA/AACAAAAAAAA8L8CYqHWNO94I0ACoWez6nO12b8AAAAAGAAAAPz8APwAAgAAAAAAAPC/AmKh1jTveCNAArKd76fGywRAAAAAABgAAAD8/AD8AAIAAAAAAADwvwJR2ht8YRImQAJ0tRX7y+7VPwAAAAAgAAAA/PwA/AACAAAAAAAA8L8CYqHWNO94I0ACg1FJnYBmEEAAAAAAGAAAAPz8APwAAgAAAAAAAPC/AlHaG3xhEiZAAgR4CyQofv0/AAAAACAAAAD8/AD8AAIAAAAAAADwvwJBE2HD06soQAKhZ7Pqc7XZvwAAAAAYAAAA/PwA/AACAAAAAAAA8L8C5fIf0m/fIEACVOOlm8RgE0AAAAAAGAAAAPz8APwAAgAAAAAAAPC/AkETYcPTqyhAAo/k8h/Sb/6/AAAAAAEdAAQBZQQAAAAAAAAAAAQIAWUEAAAAAAAAAAAEDAFlCAgAAAAAAAAACBABZQgMAAAAAAAAAAwUAWUEAAAAAAAAAAAMGAFlBAAAAAAAAAAAEBwBZQQAAAAAAAAAABQgAWUIAAAAAAAAAAAUJAFlCAAAAAAAAAAAFCgBZQQAAAAAAAAAABgsAWUEAAAAAAAAAAAcMAFlCAgAAAAAAAAAKDQBZQQAAAAAAAAAACw4AWUICAAAAAAAAAA0PAFlCAAAAAAAAAAANAEQAWUEAAAAAAAAAAABEAERAWUEAAAAAAAAAAABEQESAWUIDAAAAAAAAAABEQETAWUEAAAAAAAAAAABEgEUAWUEAAAAAAAAAAABEwEVAWUIDAAAAAAAAAABFAEWAWUEAAAAAAAAAAABFAEXAWUICAAAAAAAAAABFQEYAWUEAAAAAAAAAAABFgEZAWUEAAAAAAAAAAABGAEaAWUEAAAAAAAAAAAQGAFlBAAAAAAAAAAAMDgBZQQAAAAAAAAAAAEVARcBZQQAAAAAAAAAAAAAAAA=</t>
        </r>
      </text>
    </comment>
    <comment ref="A195" authorId="0" shapeId="0" xr:uid="{6E1BDD58-6606-40AC-A648-6BA5117C5526}">
      <text>
        <r>
          <rPr>
            <sz val="9"/>
            <color indexed="81"/>
            <rFont val="Segoe UI"/>
            <charset val="1"/>
          </rPr>
          <t>Insight iXlW00001C0000195R0080105531S00000388P01852LAocjBAQBF1NjaVRlZ2ljLmRhdGEuTW9sZWN1bGUBbwF/ARJTY2lUZWdpYy5Nb2xlY3VsZQAAAQFkAv5qAQAAAAIAAgEYAREAAAD8/AD8AAIAAAAAAADwvwAAAAAAABgAAAD8/AD8AAIAAAAAAADwvwK62or9Zff3vwLtDb4wmSqoPwAAAAAYAAAA/PwA/AACAAAAAAAA8L8C93XgnBGlAcAC+THmriXk9T8AAAAAGAAAAPz8APwAAgAAAAAAAPC/AlmoNc07TgLAAhwN4C2QoPO/AAAAABgAAAD8/AD8AAIAAAAAAADwvwJU46WbxKANwAJoImx4eqX2PwAAAAAYAAAA/PwA/AACAAAAAAAA8L8CthX7y+5JDsACrBxaZDvf8r8AAAAAGAAAAPz8APwAAgAAAAAAAPC/AigPC7Wm+RHAAuomMQisHMI/AAAAABgIAAD8/AD8AAIAAAAAAADwvwL3deCcEaURwAL5MeauJeQFQAAAAAAgAAAA/PwA/AACAAAAAAAA8L8CWDm0yHZ+EsACpHA9CtfjEEAAAAAAGAAAAPz8APwAAgAAAAAAAPC/AtGzWfW52gnAAlXBqKROQA1AAAAAABgAAAD8/AD8AAIAAAAAAADwvwKY3ZOHhVoXwAJL6gQ0ETYCQAAAAAAYAAAA/PwA/AACAAAAAAAA8L8CmioYldTJG8AC0NVW7C87CkAAAAAAGAAAAPz8APwAAgAAAAAAAPC/AjNVMCqpUx/AAigPC7Wm+RFAAAAAABgAAAD8/AD8AAIAAAAAAADwvwIzVTAqqVMfwAKJY13cRoMAQAAAAAAYAAAA/PwA/AACAAAAAAAA8L8CmN2Th4VaF8ACx0s3iUEgEUAAAAAAIAAAAPz8APwAAgAAAAAAAPC/Alyxv+yefB3AAsl2vp8arxdAAAAAABgAAAD8/AD8AAIAAAAAAADwvwJq3nGKjoQiwAJRa5p3nCIQQAAAAAAgAAAA/PwA/AACAAAAAAAA8L8CXLG/7J58HcACGlHaG3xh5D8AAAAAGAAAAPz8APwAAgAAAAAAAPC/AmrecYqOhCLAAjerPldbMQRAAAAAABgAAAD8/AD8AAIAAAAAAADwvwIxmSoYlZQYwAJh5dAi2/kWQAAAAAAYAAAA/PwA/AACAAAAAAAA8L8ClIeFWtMcJcACumsJ+aAnE0AAAAAAGAAAAPz8APwAAgAAAAAAAPC/ApSHhVrTHCXAAspUwaikTvw/AAAAABgAAAD8/AD8AAIAAAAAAADwvwK+MJkqGLUnwAJRa5p3nCIQQAAAAAAYAAAA/PwA/AACAAAAAAAA8L8CvjCZKhi1J8ACN6s+V1sxBEAAAAAAARsABAFlBAAAAAAAAAAABAgBZQgMAAAAAAAAAAQMAWUEAAAAAAAAAAAIEAFlBAAAAAAAAAAADBQBZQgIAAAAAAAAABAYAWUICAAAAAAAAAAQHAFlBAAAAAAAAAAAHCABZQQAAAAAAAAAABwkAWUEAAAAAAAAAAAcKAFlBBQAAAAAAAAAKCwBZQQAAAAAAAAAACwwAWUEAAAAAAAAAAAsNAFlBAAAAAAAAAAALDgBZQQAAAAAAAAAADA8AWUIAAAAAAAAAAAwARABZQQAAAAAAAAAADQBEQFlCAAAAAAAAAAANAESAWUEAAAAAAAAAAA4ARMBZQQAAAAAAAAAAAEQARQBZQQAAAAAAAAAAAESARUBZQQAAAAAAAAAAAEUARYBZQgIAAAAAAAAAAEVARcBZQgIAAAAAAAAABQYAWUEAAAAAAAAAAAgJAFlBAAAAAAAAAAAARABEgFlCAgAAAAAAAAAARYBFwFlBAAAAAAAAAAAAAAAAA==</t>
        </r>
      </text>
    </comment>
    <comment ref="A196" authorId="0" shapeId="0" xr:uid="{98935742-E6F9-41F2-814D-2417F6655440}">
      <text>
        <r>
          <rPr>
            <sz val="9"/>
            <color indexed="81"/>
            <rFont val="Segoe UI"/>
            <charset val="1"/>
          </rPr>
          <t>Insight iXlW00001C0000196R0080105531S00000390P01684LAocjBAQBF1NjaVRlZ2ljLmRhdGEuTW9sZWN1bGUBbwF/ARJTY2lUZWdpYy5Nb2xlY3VsZQAAAQFkAv5qAQAAAAIBAgEWJAAAAPz8APwAAgAAAAAAAPC/AAAAAAAAGAAAAPz8APwAAgAAAAAAAPC/Ao9TdCSX//Q/Atv5fmq8dOe/AAAAABgAAAD8/AD8AAIAAAAAAADwvwLHSzeJQWD1PwL/If32deABwAAAAAAYAAAA/PwA/AACAAAAAAAA8L8COwFNhA3PBEAClBgEVg4toj8AAAAAHAAAAPz8APwAAgAAAAAAAPC/Ag+cM6K0N6g/Atnw9EpZBgjAAAAAABwAAAD8/AD8AAIAAAAAAADwvwKrz9VW7C8FQAKvtmJ/2b0HwAAAAAAYAAAA/PwA/AACAAAAAAAA8L8Cg1FJnYAmsj8CMSqpE9AEEsAAAAAAGAAAAPz8APwAAgAAAAAAAPC/Av8h/fZ1YAVAAv8h/fZ14BHAAAAAABwAAAD8/AD8AAIAAAAAAADwvwKn6Egu/yH2PwKI9NvXgfMUwAAAAAAcAAAA/PwA/AACAAAAAAAA8L8CzhlR2ht8878CnRGlvcEXFcAAAAAAHAAAAPz8APwAAgAAAAAAAPC/AsdLN4lB4A9AAlfsL7snzxTAAAAAABgIAAD8/AD8AAIAAAAAAADwvwKvtmJ/2T0EwAJiMlUwKikSwAAAAAAYAAAA/PwA/AACAAAAAAAA8L8C564l5IMeD8ACJuSDns2qFMAAAAAAGAwAAPz8APwAAgAAAAAAAPC/AmIyVTAqqQXAAkm/fR04ZwjAAAAAABgAAAD8/AD8AAIAAAAAAADwvwL/If32daATwAIxKqkT0EQQwAAAAAAYAAAA/PwA/AACAAAAAAAA8L8Cc9cS8kFPEcACiIVa07xjGsAAAAAAGAAAAPz8APwAAgAAAAAAAPC/AsuhRbbzvRDAAuC+DpwzIgbAAAAAABgAAAD8/AD8AAIAAAAAAADwvwLufD81Xrr5vwIxKqkT0EQAwAAAAAAYAAAA/PwA/AACAAAAAAAA8L8Ck8t/SL99GcACufyH9NuXEcAAAAAAGAAAAPz8APwAAgAAAAAAAPC/AgaBlUOLLBfAAhFYObTIthvAAAAAABgAAAD8/AD8AAIAAAAAAADwvwKTy39Ivz0bwAIbnl4py1AXwAAAAAAYAAAA/PwA/AACAAAAAAAA8L8C6pWyDHHsGMACufyH9Nu3IMAAAAAAARgABAFlBAAAAAAAAAAABAgBZQQAAAAAAAAAAAQMAWUEAAAAAAAAAAAIEAFlCAwAAAAAAAAACBQBZQQAAAAAAAAAABAYAWUEAAAAAAAAAAAUHAFlCAwAAAAAAAAAGCABZQgIAAAAAAAAABgkAWUEAAAAAAAAAAAcKAFlBAAAAAAAAAAALCQBZQQQAAAAAAAAACwwAWUEAAAAAAAAAAAsNAFlBAAAAAAAAAAAMDgBZQgMAAAAAAAAADA8AWUEAAAAAAAAAAA0ARABZQQAAAAAAAAAADQBEQFlBBQAAAAAAAAAOAESAWUEAAAAAAAAAAA8ARMBZQgMAAAAAAAAAAESARQBZQgIAAAAAAAAAAETARUBZQQAAAAAAAAAABwgAWUEAAAAAAAAAAA4ARABZQQAAAAAAAAAAAETARQBZQQAAAAAAAAAAAAAAAA=</t>
        </r>
      </text>
    </comment>
    <comment ref="A197" authorId="0" shapeId="0" xr:uid="{50A03DF8-5F96-4A5F-BB20-6B3A56F7E45E}">
      <text>
        <r>
          <rPr>
            <sz val="9"/>
            <color indexed="81"/>
            <rFont val="Segoe UI"/>
            <charset val="1"/>
          </rPr>
          <t>Insight iXlW00001C0000197R0080105531S00000392P02092LAocjBAQBF1NjaVRlZ2ljLmRhdGEuTW9sZWN1bGUBbwF/ARJTY2lUZWdpYy5Nb2xlY3VsZQAAAQFkAv5qAQAAAAIAAgEcATUAAAD8/AD8AAIAAAAAAADwvwAAAAAAABgAAAD8/AD8AAIAAAAAAADwvwICK4cW2c7nvwJjEFg5tMj0PwAAAAAYAAAA/PwA/AACAAAAAAAA8L8C7Q2+MJkqiD8CYxBYObTIBEAAAAAAGAAAAPz8APwAAgAAAAAAAPC/AlAeFmpN8wHAAmMQWDm0yPQ/AAAAABgAAAD8/AD8AAIAAAAAAADwvwLLMsSxLm7nvwLM7snDQi0PQAAAAAAYAAAA/PwA/AACAAAAAAAA8L8C2BLyQc/mB8ACYxBYObTIBEAAAAAAARAAAAD8/AD8AAIAAAAAAADwvwLtDb4wmSqIPwJ/+zpwzsgUQAAAAAAYAAAA/PwA/AACAAAAAAAA8L8CCYofY+7aAcACzO7Jw0ItD0AAAAAAIAAAAPz8APwAAgAAAAAAAPC/AkeU9gZfmPS/At/gC5OpwhdAAAAAACAAAAD8/AD8AAIAAAAAAADwvwJyGw3gLZDoPwKX/5B++/oZQAAAAAAcAPwA/PwA/AACAAAAAAAA8L8Cfoy5awn59D8CGLfRAN7CEUAAAAAAGAAAAPz8APwAAgAAAAAAAPC/AtgS8kHP5gfAAn/7OnDOyBRAAAAAABgAAAD8/AD8AAIAAAAAAADwvwJxzojS3uAEQAJ4nKIjubwUQAAAAAAgAAAA/PwA/AACAAAAAAAA8L8CCYofY+7aAcACl/+Qfvv6GUAAAAAAIAAAAPz8APwAAgAAAAAAAPC/AjMzMzMz8xHAAn/7OnDOyBRAAAAAACAAAAD8/AD8AAIAAAAAAADwvwJxzojS3uAEQAIj2/l+arwaQAAAAAAcAAAA/PwA/AACAAAAAAAA8L8C2qz6XG1FD0ACEVg5tMi2EUAAAAAAGAAAAPz8APwAAgAAAAAAAPC/Apt3nKIj+RTAApf/kH77+hlAAAAAABgAAAD8/AD8AAIAAAAAAADwvwKGWtO849QUQAJxPQrXo7AUQAAAAAAcAAAA/PwA/AACAAAAAAAA8L8ChlrTvOPUFEACHHxhMlWwGkAAAAAAHAAAAPz8APwAAgAAAAAAAPC/Ap5eKcsQBxpAAgr5oGezqhFAAAAAABgAAAD8/AD8AAIAAAAAAADwvwKeXinLEAcaQAJ9YTJVMKodQAAAAAAYAAAA/PwA/AACAAAAAAAA8L8Ct2J/2T05H0ACcT0K16OwFEAAAAAAIAAAAPz8APwAAgAAAAAAAPC/Ap5eKcsQBxpAAqJFtvP91CFAAAAAABwAAAD8/AD8AAIAAAAAAADwvwK3Yn/ZPTkfQAIVHcnlP6QaQAAAAAAYAAAA/PwA/AACAAAAAAAA8L8CaLPqc7U1IkACCvmgZ7OqEUAAAAAAGAAAAPz8APwAAgAAAAAAAPC/AoZa07zj1BRAAtbnaiv2VyNAAAAAACwABAD8/AD8AAIAAAAAAADwvwJsmnecoiMCQAJCz2bV5+oFQAAAAAABHAAEAWUEAAAAAAAAAAAECAFlCAwAAAAAAAAABAwBZQQAAAAAAAAAAAgQAWUEAAAAAAAAAAAMFAFlCAgAAAAAAAAAEBgBZQQAAAAAAAAAABAcAWUIDAAAAAAAAAAYIAFlCAAAAAAAAAAAGCQBZQgAAAAAAAAAABgoAWUEAAAAAAAAAAAcLAFlBAAAAAAAAAAAKDABZQQAAAAAAAAAACw0AWUIAAAAAAAAAAAsOAFlBAAAAAAAAAAAMDwBZQgAAAAAAAAAADABEAFlBAAAAAAAAAAAOAERAWUEAAAAAAAAAAABEAESAWUEAAAAAAAAAAABEgETAWUIDAAAAAAAAAABEgEUAWUEAAAAAAAAAAABEwEVAWUEAAAAAAAAAAABFAEWAWUIDAAAAAAAAAABFQEXAWUEAAAAAAAAAAABFQEYAWUICAAAAAAAAAABFgEZAWUEAAAAAAAAAAABFwEaAWUEAAAAAAAAAAAUHAFlBAAAAAAAAAAAARYBGAFlBAAAAAAAAAAAAAAAAA==</t>
        </r>
      </text>
    </comment>
    <comment ref="A198" authorId="0" shapeId="0" xr:uid="{5AD4D2A8-1AD3-43D8-BFAB-B678A8BC3084}">
      <text>
        <r>
          <rPr>
            <sz val="9"/>
            <color indexed="81"/>
            <rFont val="Segoe UI"/>
            <charset val="1"/>
          </rPr>
          <t>Insight iXlW00001C0000198R0080105531S00000394P00824LAocjBAQBF1NjaVRlZ2ljLmRhdGEuTW9sZWN1bGUBbwF/ARJTY2lUZWdpYy5Nb2xlY3VsZQAAAQFkAv5qAQAAAAIAAiwBNQAAAPz8APwAAgAAAAAAAPC/AAAAAAAAGAAAAPz8APwAAgAAAAAAAPC/AuGcEaW9wfS/AmWqYFRSJ+i/AAAAABgAAAD8/AD8AAIAAAAAAADwvwLhnBGlvcH0vwKF61G4HgUCwAAAAAAYAAAA/PwA/AACAAAAAAAA8L8CqMZLN4nBBMAAAAAAACAAAAD8/AD8AAIAAAAAAADwvwACHxZqTfMOCMAAAAAAGAAAAPz8APwAAgAAAAAAAPC/AqjGSzeJwQTAAh8Wak3zDgjAAAAAABgAAAD8/AD8AAIAAAAAAADwvwIZldQJaCIPwAJlqmBUUifovwAAAAABNQAAAPz8APwAAgAAAAAAAPC/AqjGSzeJwQTAAoXrUbgeBRLAAAAAABgAAAD8/AD8AAIAAAAAAADwvwIZldQJaCIPwAKTqYJRSR0CwAAAAAAYAAAA/PwA/AACAAAAAAAA8L8CqMZLN4nBFMAAAAAAABwAAAD8/AD8AAIAAAAAAADwvwLgLZCg+PEZwAItsp3vp8bnPwAAAAAsAAQBZQQAAAAAAAAAAAQIAWUICAAAAAAAAAAEDAFlBAAAAAAAAAAACBABZQQAAAAAAAAAAAgUAWUEAAAAAAAAAAAMGAFlCAwAAAAAAAAAFBwBZQQAAAAAAAAAABQgAWUICAAAAAAAAAAYJAFlBAAAAAAAAAAAJCgBZQwAAAAAAAAAABggAWUEAAAAAAAAAAAAAAAA</t>
        </r>
      </text>
    </comment>
    <comment ref="A199" authorId="0" shapeId="0" xr:uid="{DC7EF062-8A8D-4FFF-A913-AA4C3EAE9D7D}">
      <text>
        <r>
          <rPr>
            <sz val="9"/>
            <color indexed="81"/>
            <rFont val="Segoe UI"/>
            <charset val="1"/>
          </rPr>
          <t>Insight iXlW00001C0000199R0080105531S00000396P01212LAocjBAQBF1NjaVRlZ2ljLmRhdGEuTW9sZWN1bGUBbwF/ARJTY2lUZWdpYy5Nb2xlY3VsZQAAAQFkAv5qAQAAAAIAAgEQAREAAAD8/AD8AAIAAAAAAADwvwAAAAAAABgAAAD8/AD8AAIAAAAAAADwvwIUYcPTK2WpvwIi/fZ14Jz3vwAAAAAcAAAA/PwA/AACAAAAAAAA8L8CWFuxv+ye9r8CKVyPwvWoAcAAAAAAHAAAAPz8APwAAgAAAAAAAPC/AjXvOEVHcvM/Ailcj8L1qAHAAAAAABgAAAD8/AD8AAIAAAAAAADwvwJgdk8eFmr3vwK62or9ZXcNwAAAAAAYAAAA/PwA/AACAAAAAAAA8L8CuycPC7Wm8j8CutqK/WV3DcAAAAAAHAAAAPz8APwAAgAAAAAAAPC/AhRhw9MrZcm/Ato9eViotRHAAAAAABwAAAD8/AD8AAIAAAAAAADwvwJYW7G/7J4GwALaPXlYqLURwAAAAAAcAAAA/PwA/AACAAAAAAAA8L8C/Rhz1xJyA0ACKVyPwvWoEcAAAAAAGAAAAPz8APwAAgAAAAAAAPC/AhriWBe30QbAAoPAyqFFthfAAAAAABgAAAD8/AD8AAIAAAAAAADwvwIxKqkT0IQQwAK62or9ZXcNwAAAAAAYAAAA/PwA/AACAAAAAAAA8L8CG55eKcuQDUACNs07TtERDcAAAAAAGAAAAPz8APwAAgAAAAAAAPC/ApLtfD81nhDAAgCRfvs6sBrAAAAAABgAAAD8/AD8AAIAAAAAAADwvwLSkVz+Q7oVwALaPXlYqLURwAAAAAAYAAAA/PwA/AACAAAAAAAA8L8CgSbChqfXE0ACZ9Xnait2EcAAAAAAGAAAAPz8APwAAgAAAAAAAPC/ApeQD3o2Kw1AApwzorQ3eADAAAAAAAEQAAQBZQQAAAAAAAAAAAQIAWUIDAAAAAAAAAAEDAFlBAAAAAAAAAAACBABZQQAAAAAAAAAAAwUAWUIDAAAAAAAAAAQGAFlCAgAAAAAAAAAEBwBZQQAAAAAAAAAABQgAWUEAAAAAAAAAAAcJAFlBAAAAAAAAAAAHCgBZQQAAAAAAAAAACAsAWUEAAAAAAAAAAAkMAFlBAAAAAAAAAAAKDQBZQQAAAAAAAAAACw4AWUEAAAAAAAAAAAsPAFlBAAAAAAAAAAAFBgBZQQAAAAAAAAAAAAAAAA=</t>
        </r>
      </text>
    </comment>
    <comment ref="A200" authorId="0" shapeId="0" xr:uid="{067EBCB5-C90D-49EF-8240-F72C098A1EAF}">
      <text>
        <r>
          <rPr>
            <sz val="9"/>
            <color indexed="81"/>
            <rFont val="Segoe UI"/>
            <charset val="1"/>
          </rPr>
          <t>Insight iXlW00001C0000200R0080105531S00000398P02128LAocjBAQBF1NjaVRlZ2ljLmRhdGEuTW9sZWN1bGUBbwF/ARJTY2lUZWdpYy5Nb2xlY3VsZQAAAQFkAv5qAQAAAAIAAgEcAREAAAD8/AD8AAIAAAAAAADwvwAAAAAAABgAAAD8/AD8AAIAAAAAAADwvwK7Jw8LtabjPwIK+aBns+r1PwAAAAAYAAAA/PwA/AACAAAAAAAA8L8Ci/1l9+Rh0b8CVVInoImwBEAAAAAAGAAAAPz8APwAAgAAAAAAAPC/AjiJQWDl0ABAAuXyH9JvX/g/AAAAABwAAAD8/AD8AAIAAAAAAADwvwL0/dR46Sb8vwIv/yH99nUDQAAAAAAYAAAA/PwA/AACAAAAAAAA8L8C7FG4HoXr1T8C2s73U+OlD0AAAAAAGAAAAPz8APwAAgAAAAAAAPC/Au58PzVeugVAAjBMpgpGJQdAAAAAABwAAAD8/AD8AAIAAAAAAADwvwLJBz2bVR8EwAJsmnecoiPyPwAAAAAYAAAA/PwA/AACAAAAAAAA8L8CXkvIBz0bBsACSFD8GHNXDEAAAAAAGAAAAPz8APwAAgAAAAAAAPC/AgyTqYJRSf0/AuSlm8QgcBBAAAAAAAERAAAA/PwA/AACAAAAAAAA8L8COIlBYOXQEEACHcnlP6RfCEAAAAAAGAAAAPz8APwAAgAAAAAAAPC/AvVKWYY41g/AAiKOdXEbDfc/AAAAACAAAAD8/AD8AAIAAAAAAADwvwKDUUmdgKYDwAK7SQwCKwcUQAAAAAAcAAAA/PwA/AACAAAAAAAA8L8C8WPMXUuIEMACWoY41sVtB0AAAAAAGAAAAPz8APwAAgAAAAAAAPC/AgpoImx4uhXAAigPC7WmeQ1AAAAAACAAAAD8/AD8AAIAAAAAAADwvwIKaCJseLoVwAI/xty1hLwUQAAAAAAcAAAA/PwA/AACAAAAAAAA8L8CI2x4eqXsGsACWoY41sVtB0AAAAAAGAAAAPz8APwAAgAAAAAAAPC/Ah44Z0RpDyDAAigPC7WmeQ1AAAAAABgAAAD8/AD8AAIAAAAAAADwvwIjbHh6pewawAIGEhQ/xtz2PwAAAAAYAAAA/PwA/AACAAAAAAAA8L8CnMQgsHKoIsACaERpb/CFB0AAAAAAGAAAAPz8APwAAgAAAAAAAPC/Ah44Z0RpDyDAAj/G3LWEvBRAAAAAABgAAAD8/AD8AAIAAAAAAADwvwIKaCJseLoVwALSAN4CCYrlPwAAAAAYAAAA/PwA/AACAAAAAAAA8L8CHjhnRGkPIMAC0gDeAgmK5T8AAAAAJAAAAPz8APwAAgAAAAAAAPC/ApzEILByqCLAAiKOdXEbDfc/AAAAABgAAAD8/AD8AAIAAAAAAADwvwKoxks3iUElwAIoDwu1pnkNQAAAAAAYAAAA/PwA/AACAAAAAAAA8L8CnMQgsHKoIsACpwpGJXXCF0AAAAAAGAAAAPz8APwAAgAAAAAAAPC/AqjGSzeJQSXAAj/G3LWEvBRAAAAAACQAAAD8/AD8AAIAAAAAAADwvwK1yHa+n9onwAKnCkYldcIXQAAAAAABHgAEAWUEAAAAAAAAAAAECAFlCAgAAAAAAAAABAwBZQQAAAAAAAAAAAgQAWUEAAAAAAAAAAAIFAFlBAAAAAAAAAAADBgBZQgMAAAAAAAAABAcAWUEAAAAAAAAAAAQIAFlBAAAAAAAAAAAFCQBZQgIAAAAAAAAABgoAWUEAAAAAAAAAAAcLAFlCAgAAAAAAAAAIDABZQgAAAAAAAAAACA0AWUEAAAAAAAAAAA0OAFlBAAAAAAAAAAAODwBZQgAAAAAAAAAADgBEAFlBAAAAAAAAAAAARABEQFlBAAAAAAAAAAAARABEgFlBAAAAAAAAAAAAREBEwFlCAgAAAAAAAAAAREBFAFlBAAAAAAAAAAAARIBFQFlBAAAAAAAAAAAARIBFgFlBAAAAAAAAAAAARMBFwFlBAAAAAAAAAAAARMBGAFlBAAAAAAAAAAAARQBGQFlCAgAAAAAAAAAARgBGgFlCAwAAAAAAAAAARoBGwFlBAAAAAAAAAAAGCQBZQQAAAAAAAAAACw0AWUEAAAAAAAAAAABGQEaAWUEAAAAAAAAAAAAAAAA</t>
        </r>
      </text>
    </comment>
    <comment ref="A201" authorId="0" shapeId="0" xr:uid="{0C318831-A9D5-496D-B033-866A4F89E94A}">
      <text>
        <r>
          <rPr>
            <sz val="9"/>
            <color indexed="81"/>
            <rFont val="Segoe UI"/>
            <charset val="1"/>
          </rPr>
          <t>Insight iXlW00001C0000201R0080105531S00000400P02188LAocjBAQBF1NjaVRlZ2ljLmRhdGEuTW9sZWN1bGUBbwF/ARJTY2lUZWdpYy5Nb2xlY3VsZQAAAQFkAv5qAQAAAAIAAgEdARAAAAD8/AD8AAIAAAAAAADwvwAAAAAAACAAAAD8/AD8AAIAAAAAAADwvwLpSC7/If3sPwIzMzMzMzPzPwAAAAAgAAAA/PwA/AACAAAAAAAA8L8CMzMzMzMz878C6Ugu/yH97D8AAAAAGAAAAPz8APwAAgAAAAAAAPC/AjMzMzMzM/M/AulILv8h/ey/AAAAABgAAAD8/AD8AAIAAAAAAADwvwLpSC7/If3svwIzMzMzMzPzvwAAAAAYAAAA/PwA/AACAAAAAAAA8L8Cx0s3iUFg8D8CMzMzMzMzA8AAAAAAGAAAAPz8APwAAgAAAAAAAPC/AuomMQisnARAAtsbfGEyVdS/AAAAABgAAAD8/AD8AAIAAAAAAADwvwIzMzMzMzMDwALHSzeJQWDwvwAAAAAcAAAA/PwA/AACAAAAAAAA8L8C8KfGSzcJCcACUfwYc9cS0j8AAAAAHAAAAPz8APwAAgAAAAAAAPC/Ak+vlGWIYwvAAuLplbIM8QDAAAAAABwAAAD8/AD8AAIAAAAAAADwvwKDUUmdgGYSwAAAAAAAGAAAAPz8APwAAgAAAAAAAPC/Apjdk4eFWgrAAtuK/WX35AzAAAAAABgAAAD8/AD8AAIAAAAAAADwvwJJv30dOCcTwAJIcvkP6bf3vwAAAAAYAAAA/PwA/AACAAAAAAAA8L8Ci47k8h8SEsACp+hILv/hEcAAAAAAGAAAAPz8APwAAgAAAAAAAPC/AjtwzojS3v6/As1dS8gH/RDAAAAAABgAAAD8/AD8AAIAAAAAAADwvwIkSnuDLwwYwAJfKcsQx7oCwAAAAAAYAAAA/PwA/AACAAAAAAAA8L8CSOF6FK6HF8ACkaD4MeauDsAAAAAAJAAAAPz8APwAAgAAAAAAAPC/As3MzMzMzPy/AmUZ4lgX9xbAAAAAACQAAAD8/AD8AAIAAAAAAADwvwJuowG8BRLivwIs9pfdk4cTwAAAAAAkAAAA/PwA/AACAAAAAAAA8L8Cg+LHmLuW5r8CXkvIBz0bC8AAAAAAGAAAAPz8APwAAgAAAAAAAPC/AsWxLm6jgR3AAkHxY8xdS/u/AAAAACAAAAD8/AD8AAIAAAAAAADwvwKgGi/dJAYewAJ5eqUsQxzLvwAAAAAcAAAA/PwA/AACAAAAAAAA8L8CUB4Wak0zIcACFD/G3LWEBMAAAAAAGAAAAPz8APwAAgAAAAAAAPC/AiDSb18H7iPAAjtwzojS3v6/AAAAACAAAAD8/AD8AAIAAAAAAADwvwJ8gy9MpoomwALarPpcbUUFwAAAAAAcAAAA/PwA/AACAAAAAAAA8L8CdSSX/5B+JMACP+jZrPpc3b8AAAAAGAAAAPz8APwAAgAAAAAAAPC/Au2ePCzUuijAAnxhMlUwKvq/AAAAABwAAAD8/AD8AAIAAAAAAADwvwJBguLHmHsnwAJR/Bhz1xLSvwAAAAAYAAAA/PwA/AACAAAAAAAA8L8Cs53vp8arK8ACkaD4Meau/r8AAAAAAR8ABAFlCAAAAAAAAAAAAAgBZQgAAAAAAAAAAAAMAWUEAAAAAAAAAAAAEAFlBAAAAAAAAAAADBQBZQQAAAAAAAAAAAwYAWUEAAAAAAAAAAAQHAFlBAAAAAAAAAAAHCABZQgMAAAAAAAAABwkAWUEAAAAAAAAAAAgKAFlBAAAAAAAAAAAJCwBZQQAAAAAAAAAACQwAWUEAAAAAAAAAAAsNAFlCAgAAAAAAAAALDgBZQQAAAAAAAAAADA8AWUEAAAAAAAAAAA0ARABZQQAAAAAAAAAADgBEQFlBAAAAAAAAAAAOAESAWUEAAAAAAAAAAA4ARMBZQQAAAAAAAAAADwBFAFlBAAAAAAAAAAAARQBFQFlCAAAAAAAAAAAARQBFgFlBAAAAAAAAAAAARYBFwFlBAAAAAAAAAAAARcBGAFlBAAAAAAAAAAAARcBGQFlCAwAAAAAAAAAARgBGgFlBAAAAAAAAAAAARkBGwFlBAAAAAAAAAAAARoBHAFlBAAAAAAAAAAAKDABZQgIAAAAAAAAADwBEAFlCAgAAAAAAAAAARoBGwFlCAgAAAAAAAAAAAAAAA==</t>
        </r>
      </text>
    </comment>
    <comment ref="A202" authorId="0" shapeId="0" xr:uid="{8E5ABC92-21AE-4821-8830-8E18AC1775A5}">
      <text>
        <r>
          <rPr>
            <sz val="9"/>
            <color indexed="81"/>
            <rFont val="Segoe UI"/>
            <charset val="1"/>
          </rPr>
          <t>Insight iXlW00001C0000202R0080105531S00000402P00996LAocjBAQBF1NjaVRlZ2ljLmRhdGEuTW9sZWN1bGUBbwF/ARJTY2lUZWdpYy5Nb2xlY3VsZQAAAQFkAv5qAQAAAAIAAjQBIwAAAPz8APwAAgAAAAAAAPC/AAAAAAAAGAAAAPz8APwAAgAAAAAAAPC/AnRGlPYGX5i/Ai1DHOviNvg/AAAAABgAAAD8/AD8AAIAAAAAAADwvwIJih9j7lr1vwJb07zjFB0CQAAAAAAYAAAA/PwA/AACAAAAAAAA8L8CMZkqGJXU8z8CW9O84xQdAkAAAAAAIAAAAPz8APwAAgAAAAAAAPC/AkSLbOf7KQXAAisYldQJaPg/AAAAABwAAAD8/AD8AAIAAAAAAADwvwIj2/l+arz1vwLx9EpZhjgOQAAAAAAcAAAA/PwA/AACAAAAAAAA8L8CppvEILBy8z8C8fRKWYY4DkAAAAAAGAAAAPz8APwAAgAAAAAAAPC/AoXrUbgeBQRAArhAguLHmPg/AAAAABgAAAD8/AD8AAIAAAAAAADwvwKFDU+vlGW4vwJb07zjFB0SQAAAAAAYAAAA/PwA/AACAAAAAAAA8L8CCYofY+5aBcACW9O84xQdEkAAAAAAIAAAAPz8APwAAgAAAAAAAPC/AjLmriXkg76/AkLPZtXnKhhAAAAAABgAAAD8/AD8AAIAAAAAAADwvwJJUPwYc9cPwAK38/3UeGkOQAAAAAAYAAAA/PwA/AACAAAAAAAA8L8ClrIMcayLBcACQs9m1ecqGEAAAAAANAAEAWUEAAAAAAAAAAAECAFlBAAAAAAAAAAABAwBZQgMAAAAAAAAAAgQAWUIAAAAAAAAAAAIFAFlBAAAAAAAAAAADBgBZQQAAAAAAAAAAAwcAWUEAAAAAAAAAAAUIAFlBAAAAAAAAAAAFCQBZQQAAAAAAAAAACAoAWUIAAAAAAAAAAAkLAFlBAAAAAAAAAAAJDABZQQAAAAAAAAAABggAWUEAAAAAAAAAAAAAAAA</t>
        </r>
      </text>
    </comment>
    <comment ref="A203" authorId="0" shapeId="0" xr:uid="{63690861-84C8-425E-8411-7D6DA38C3327}">
      <text>
        <r>
          <rPr>
            <sz val="9"/>
            <color indexed="81"/>
            <rFont val="Segoe UI"/>
            <charset val="1"/>
          </rPr>
          <t>Insight iXlW00001C0000203R0080105531S00000404P01356LAocjBAQBF1NjaVRlZ2ljLmRhdGEuTW9sZWN1bGUBbwF/ARJTY2lUZWdpYy5Nb2xlY3VsZQAAAQFkAv5qAQAAAAIAAgESARAAAAD8/AD8AAIAAAAAAADwvwAAAAAAABgAAAD8/AD8AAIAAAAAAADwvwIooImw4en0vwK9dJMYBFboPwAAAAAYAAAA/PwA/AACAAAAAAAA8L8CdEaU9gZfmL8C/Knx0k1i978AAAAAHAAAAPz8APwAAgAAAAAAAPC/Au/Jw0Kt6QTAArWmeccpOqI/AAAAABwAAAD8/AD8AAIAAAAAAADwvwLQRNjw9Er1vwJHA3gLJCgCQAAAAAAcAAAA/PwA/AACAAAAAAAA8L8CA5oIG55eD8ACKA8LtaZ56T8AAAAAHAAAAPz8APwAAgAAAAAAAPC/AsZtNIC3QLK/Aj4K16NwPQhAAAAAABgAAAD8/AD8AAIAAAAAAADwvwJ88rBQaxoFwAI+CtejcD0IQAAAAAAYAAAA/PwA/AACAAAAAAAA8L8CkML1KFyPD8AC4umVsgxxAkAAAAAAGAAAAPz8APwAAgAAAAAAAPC/Ar4wmSoYlfM/AlXBqKROQAJAAAAAACAAAAD8/AD8AAIAAAAAAADwvwIJG55eKUsFwAIrGJXUCSgSQAAAAAAYAAAA/PwA/AACAAAAAAAA8L8CUkmdgCYCFcACEce6uI2GCEAAAAAAGAAAAPz8APwAAgAAAAAAAPC/Ai3UmuYdJwRAAj4K16NwPQhAAAAAABgAAAD8/AD8AAIAAAAAAADwvwI/xty1hDwawAJ90LNZ9bkCQAAAAAAYAAAA/PwA/AACAAAAAAAA8L8CfPKwUGsaFcAClfYGX5hMEkAAAAAAGAAAAPz8APwAAgAAAAAAAPC/Aj/G3LWEPBrAAkCk374OnA5AAAAAABgAAAD8/AD8AAIAAAAAAADwvwL6D+m3r4MOQAJVwaikTkACQAAAAAAYAAAA/PwA/AACAAAAAAAA8L8CLdSa5h0nBEACCM4ZUdobEkAAAAAAARIABAFlBAAAAAAAAAAAAAgBZQQAAAAAAAAAAAQMAWUIDAAAAAAAAAAEEAFlBAAAAAAAAAAADBQBZQQAAAAAAAAAABAYAWUEAAAAAAAAAAAQHAFlBAAAAAAAAAAAFCABZQgMAAAAAAAAABgkAWUIDAAAAAAAAAAcKAFlCAAAAAAAAAAAICwBZQQAAAAAAAAAACQwAWUEAAAAAAAAAAAsNAFlBAAAAAAAAAAALDgBZQQAAAAAAAAAACw8AWUEAAAAAAAAAAAwARABZQQAAAAAAAAAADABEQFlBAAAAAAAAAAAHCABZQQAAAAAAAAAAAAAAAA=</t>
        </r>
      </text>
    </comment>
    <comment ref="A204" authorId="0" shapeId="0" xr:uid="{A5E76A1C-1978-467D-A824-698602B190D0}">
      <text>
        <r>
          <rPr>
            <sz val="9"/>
            <color indexed="81"/>
            <rFont val="Segoe UI"/>
            <charset val="1"/>
          </rPr>
          <t>Insight iXlW00001C0000204R0080105531S00000406P01644LAocjBAQBF1NjaVRlZ2ljLmRhdGEuTW9sZWN1bGUBbwF/ARJTY2lUZWdpYy5Nb2xlY3VsZQAAAQFkAv5qAQAAAAIAAgEWIAAAAPz8APwAAgAAAAAAAPC/AAAAAAAAHAAEAPz8APwAAgAAAAAAAPC/Amyad5yiI6k/AhvAWyBB8fi/AAAAACAA/AD8/AD8AAIAAAAAAADwvwKpNc07TtH0PwIW+8vuyUMCwAAAAAAYAAAA/PwA/AACAAAAAAAA8L8CArwFEhQ/878CqMZLN4nBAsAAAAAAGAAAAPz8APwAAgAAAAAAAPC/AgK8BRIUP/O/AkzIBz2b1Q7AAAAAABgAAAD8/AD8AAIAAAAAAADwvwIOT6+UZQgEwAJsmnecoiP5vwAAAAAcAAAA/PwA/AACAAAAAAAA8L8CbJp3nKIjuT8Cc9cS8kGPEsAAAAAAGAAAAPz8APwAAgAAAAAAAPC/Ag5Pr5RlCATAAt/gC5OpghLAAAAAABgAAAD8/AD8AAIAAAAAAADwvwLi6ZWyDHEOwAKA2T15WKgCwAAAAAAYAAAA/PwA/AACAAAAAAAA8L8CT6+UZYhj9j8CjblrCfkgD8AAAAAAGAAAAPz8APwAAgAAAAAAAPC/Amyad5yiI6k/AhDpt68DZxjAAAAAABwABAD8/AD8AAIAAAAAAADwvwJ3LSEf9GwEwAJ88rBQa1oYwAAAAAAYAAAA/PwA/AACAAAAAAAA8L8C4umVsgxxDsACTMgHPZvVDsAAAAAAGAAAAPz8APwAAgAAAAAAAPC/AnctIR/0bBTAAhvAWyBB8fi/AAAAABgAAAD8/AD8AAIAAAAAAADwvwK1yHa+n5oFQAIU0ETY8LQSwAAAAAAYAAAA/PwA/AACAAAAAAAA8L8CqTXNO07R9D8ClfYGX5hMG8AAAAAAIAAAAPz8APwAAgAAAAAAAPC/ArWmeccpOg/AApX2Bl+YTBvAAAAAACAA/AD8/AD8AAIAAAAAAADwvwKpNc07TtH0vwKV9gZfmEwbwAAAAAAYAAAA/PwA/AACAAAAAAAA8L8Cdy0hH/RsFMACbJp3nKIjqb8AAAAAGAAAAPz8APwAAgAAAAAAAPC/AhZqTfOO0xnAAhb7y+7JQwLAAAAAABgAAAD8/AD8AAIAAAAAAADwvwJZqDXNOw4QQAL3l92Th4UPwAAAAAAYAAAA/PwA/AACAAAAAAAA8L8Cdy0hH/Rs9D8CY3/ZPXmYIMAAAAAAARYABAFlCAAAAAAAAAAABAgBZQQAAAAAAAAAAAQMAWUEAAAAAAAAAAAMEAFlCAgAAAAAAAAADBQBZQQAAAAAAAAAABAYAWUEAAAAAAAAAAAQHAFlBAAAAAAAAAAAFCABZQgMAAAAAAAAABgkAWUEAAAAAAAAAAAYKAFlBAAAAAAAAAAAHCwBZQQAAAAAAAAAABwwAWUICAAAAAAAAAAgNAFlBAAAAAAAAAAAJDgBZQQAAAAAAAAAACg8AWUEAAAAAAAAAAAsARABZQgAAAAAAAAAACwBEQFlBAAAAAAAAAAANAESAWUEAAAAAAAAAAA0ARMBZQQAAAAAAAAAADgBFAFlBAAAAAAAAAAAPAEVAWUEAAAAAAAAAAAgMAFlBAAAAAAAAAAAAAAAAA==</t>
        </r>
      </text>
    </comment>
    <comment ref="A205" authorId="0" shapeId="0" xr:uid="{9F852200-1204-4219-93EA-874DD1517AE0}">
      <text>
        <r>
          <rPr>
            <sz val="9"/>
            <color indexed="81"/>
            <rFont val="Segoe UI"/>
            <charset val="1"/>
          </rPr>
          <t>Insight iXlW00001C0000205R0080105531S00000408P01128LAocjBAQBF1NjaVRlZ2ljLmRhdGEuTW9sZWN1bGUBbwF/ARJTY2lUZWdpYy5Nb2xlY3VsZQAAAQFkAv5qAQAAAAIAAjwgAAAA/PwA/AACAAAAAAAA8L8AAAAAAAAYAAAA/PwA/AACAAAAAAAA8L8AAo9TdCSX//e/AAAAABwAAAD8/AD8AAIAAAAAAADwvwLUvOMUHcn0PwKWsgxxrAsCwAAAAAAcAAAA/PwA/AACAAAAAAAA8L8C1LzjFB3J9L8CiPTb14HzAcAAAAAAGAAAAPz8APwAAgAAAAAAAPC/AtS84xQdyQRAAqvP1VbsL/i/AAAAABgAAAD8/AD8AAIAAAAAAADwvwLUvOMUHcn0PwJe3EYDeAsOwAAAAAAYAAAA/PwA/AACAAAAAAAA8L8C1LzjFB3JBMACc9cS8kHP978AAAAAGAAAAPz8APwAAgAAAAAAAPC/AnZxGw3gLQ/AAno2qz5X2wHAAAAAABgAAAD8/AD8AAIAAAAAAADwvwLUvOMUHckEwALtDb4wmSqIPwAAAAAYAAAA/PwA/AACAAAAAAAA8L8C8KfGSzfJFMACWFuxv+ye978AAAAAGAAAAPz8APwAAgAAAAAAAPC/AnZxGw3gLQ/AAlR0JJf/kOg/AAAAABgAAAD8/AD8AAIAAAAAAADwvwLwp8ZLN8kUwALtDb4wmSqYPwAAAAAYAAAA/PwA/AACAAAAAAAA8L8CJZf/kH77GcACjGzn+6nx6D8AAAAAGAAAAPz8APwAAgAAAAAAAPC/AlqGONbFLR/AAnKKjuTyH6I/AAAAABgAAAD8/AD8AAIAAAAAAADwvwIll/+QfvsZwALrBDQRNjwCQAAAAAA8AAQBZQgAAAAAAAAAAAQIAWUEAAAAAAAAAAAEDAFlBAAAAAAAAAAACBABZQQAAAAAAAAAAAgUAWUEAAAAAAAAAAAMGAFlBAAAAAAAAAAAGBwBZQgMAAAAAAAAABggAWUEAAAAAAAAAAAcJAFlBAAAAAAAAAAAICgBZQgIAAAAAAAAACQsAWUIDAAAAAAAAAAsMAFlBAAAAAAAAAAAMDQBZQQAAAAAAAAAADA4AWUEAAAAAAAAAAAoLAFlBAAAAAAAAAAAAAAAAA==</t>
        </r>
      </text>
    </comment>
    <comment ref="A206" authorId="0" shapeId="0" xr:uid="{93B2FABE-3749-4781-BEFF-0758A8C0FFD8}">
      <text>
        <r>
          <rPr>
            <sz val="9"/>
            <color indexed="81"/>
            <rFont val="Segoe UI"/>
            <charset val="1"/>
          </rPr>
          <t>Insight iXlW00001C0000206R0080105531S00000410P01136LAocjBAQBF1NjaVRlZ2ljLmRhdGEuTW9sZWN1bGUBbwF/ARJTY2lUZWdpYy5Nb2xlY3VsZQAAAQFkAv5qAQAAAAIAAjwgAAAA/PwA/AACAAAAAAAA8L8AAAAAAAAYAAAA/PwA/AACAAAAAAAA8L8CNe84RUdyqT8CT9GRXP5D+b8AAAAAHAAAAPz8APwAAgAAAAAAAPC/AkoMAiuHFvU/AtJvXwfOmQLAAAAAABwAAAD8/AD8AAIAAAAAAADwvwLm0CLb+X7zvwKPU3Qkl/8CwAAAAAAYAAAA/PwA/AACAAAAAAAA8L8CVVInoImwBEACl5APejar+L8AAAAAGAAAAPz8APwAAgAAAAAAAPC/As4ZUdobfPU/AsIXJlMFow7AAAAAABgAAAD8/AD8AAIAAAAAAADwvwLbiv1l9+QDwALImLuWkA/6vwAAAAAcAAAA/PwA/AACAAAAAAAA8L8Cf/s6cM4ID8ACumsJ+aDnAcAAAAAAGAAAAPz8APwAAgAAAAAAAPC/ArByaJHt/ATAAvAWSFD8GMO/AAAAACAAAAD8/AD8AAIAAAAAAADwvwI17zhFR3ITwAJ3Tx4Wak3yvwAAAAAYAAAA/PwA/AACAAAAAAAA8L8CchsN4C1QEMAC8BZIUPwYwz8AAAAAGAAAAPz8APwAAgAAAAAAAPC/AlAeFmpNsxLAAtUJaCJsePg/AAAAABgAAAD8/AD8AAIAAAAAAADwvwIFNBE2PD0OwALE0ytlGeIFQAAAAAAYAAAA/PwA/AACAAAAAAAA8L8Ce6UsQxyrGMACNxrAWyBB+z8AAAAAGAAAAPz8APwAAgAAAAAAAPC/Ai4hH/RsFhXAAi2yne+nRgdAAAAAADwABAFlCAAAAAAAAAAABAgBZQQAAAAAAAAAAAQMAWUEAAAAAAAAAAAIEAFlBAAAAAAAAAAACBQBZQQAAAAAAAAAAAwYAWUEAAAAAAAAAAAYHAFlCAwAAAAAAAAAGCABZQQAAAAAAAAAABwkAWUEAAAAAAAAAAAgKAFlCAwAAAAAAAAAKCwBZQQAAAAAAAAAACwwAWUEAAAAAAAAAAAsNAFlBAAAAAAAAAAALDgBZQQAAAAAAAAAACQoAWUEAAAAAAAAAAAAAAAA</t>
        </r>
      </text>
    </comment>
    <comment ref="A207" authorId="0" shapeId="0" xr:uid="{569D79DE-1BA7-43B4-B47E-557B4763DA33}">
      <text>
        <r>
          <rPr>
            <sz val="9"/>
            <color indexed="81"/>
            <rFont val="Segoe UI"/>
            <charset val="1"/>
          </rPr>
          <t>Insight iXlW00001C0000207R0080105531S00000412P01780LAocjBAQBF1NjaVRlZ2ljLmRhdGEuTW9sZWN1bGUBbwF/ARJTY2lUZWdpYy5Nb2xlY3VsZQAAAQFkAv5qAQAAAAIAAgEYIAAAAPz8APwAAgAAAAAAAPC/AAAAAAAAGAAAAPz8APwAAgAAAAAAAPC/AifChqdXyvS/AsfctYR80Oe/AAAAABwAAAD8/AD8AAIAAAAAAADwvwInwoanV8r0vwKjI7n8h/QBwAAAAAAYAAAA/PwA/AACAAAAAAAA8L8CJ8KGp1fKBMAAAAAAABgAAAD8/AD8AAIAAAAAAADwvwACGy/dJAYBCMAAAAAAGAAAAPz8APwAAgAAAAAAAPC/AjojSnuDLw/AAsfctYR80Oe/AAAAABgAAAD8/AD8AAIAAAAAAADwvwInwoanV8oEwALiWBe30QD4PwAAAAAgAAAA/PwA/AACAAAAAAAA8L8CYjJVMCqpwz8Cvw6cM6L0EcAAAAAAGAAAAPz8APwAAgAAAAAAAPC/Aj9XW7G/7PU/Aru4jQbwFgPAAAAAACAAAAD8/AD8AAIAAAAAAADwvwI6I0p7gy8PwAKjI7n8h/QBwAAAAAAYAAAA/PwA/AACAAAAAAAA8L8CJ8KGp1fKFMAAAAAAACAAAAD8/AD8AAIAAAAAAADwvwInwoanV8r0vwKx4emVsgwCQAAAAAAYAAAA/PwA/AACAAAAAAAA8L8COiNKe4MvD8ACseHplbIMAkAAAAAAHAAAAPz8APwAAgAAAAAAAPC/AtuK/WX35Pk/Asl2vp8aLxPAAAAAABgAAAD8/AD8AAIAAAAAAADwvwKt+lxtxf4CQAJ/jLlrCfkLwAAAAAAYAAAA/PwA/AACAAAAAAAA8L8CJ8KGp1fKFMACGy/dJAYBCMAAAAAAGAAAAPz8APwAAgAAAAAAAPC/AifChqdXyhTAAuJYF7fRAPg/AAAAABgAAAD8/AD8AAIAAAAAAADwvwInwoanV8r0vwJbZDvfTw0OQAAAAAAYAAAA/PwA/AACAAAAAAAA8L8CEOm3rwPnDkACWDm0yHa+CsAAAAAAGAAAAPz8APwAAgAAAAAAAPC/ArivA+eM6BFAAnIbDeAtkP+/AAAAABgAAAD8/AD8AAIAAAAAAADwvwKt+lxtxf4SQALpSC7/IT0SwAAAAAAYAAAA/PwA/AACAAAAAAAA8L8CsHJoke38CUACfPKwUGvaEsAAAAAAGAAAAPz8APwAAgAAAAAAAPC/AuomMQis3BdAApchjnVxG/2/AAAAABgAAAD8/AD8AAIAAAAAAADwvwLfcYqO5PIYQAJyio7k8p8RwAAAAAABGQAEAWUIAAAAAAAAAAAECAFlBAAAAAAAAAAABAwBZQQAAAAAAAAAAAgQAWUEAAAAAAAAAAAMFAFlCAgAAAAAAAAADBgBZQQAAAAAAAAAABAcAWUEAAAAAAAAAAAQIAFlCAwAAAAAAAAAFCQBZQQAAAAAAAAAABQoAWUEAAAAAAAAAAAYLAFlBAAAAAAAAAAAGDABZQgIAAAAAAAAABw0AWUEAAAAAAAAAAAgOAFlBAAAAAAAAAAAJDwBZQQAAAAAAAAAACgBEAFlCAgAAAAAAAAALAERAWUEAAAAAAAAAAA4ARIBZQQAAAAAAAAAAAESARMBZQQAAAAAAAAAAAESARQBZQQAAAAAAAAAAAESARUBZQQAAAAAAAAAAAETARYBZQQAAAAAAAAAAAEUARcBZQQAAAAAAAAAADABEAFlBAAAAAAAAAAANDgBZQgIAAAAAAAAAAAAAAA=</t>
        </r>
      </text>
    </comment>
    <comment ref="A208" authorId="0" shapeId="0" xr:uid="{07B51B22-5B56-467D-8BA3-EAC4EE631D82}">
      <text>
        <r>
          <rPr>
            <sz val="9"/>
            <color indexed="81"/>
            <rFont val="Segoe UI"/>
            <charset val="1"/>
          </rPr>
          <t>Insight iXlW00001C0000208R0080105531S00000414P01768LAocjBAQBF1NjaVRlZ2ljLmRhdGEuTW9sZWN1bGUBbwF/ARJTY2lUZWdpYy5Nb2xlY3VsZQAAAQFkAv5qAQAAAAIAAgEYARAAAAD8/AD8AAIAAAAAAADwvwAAAAAAACAAAAD8/AD8AAIAAAAAAADwvwI8TtGRXP73vwAAAAAAIAAAAPz8APwAAgAAAAAAAPC/AAI8TtGRXP73PwAAAAAYAAAA/PwA/AACAAAAAAAA8L8AAjxO0ZFc/ve/AAAAABgAAAD8/AD8AAIAAAAAAADwvwI8TtGRXP73PwAAAAAAGAAAAPz8APwAAgAAAAAAAPC/AvJjzF1LyPS/ArRZ9bnaCgLAAAAAABgAAAD8/AD8AAIAAAAAAADwvwLyY8xdS8j0PwK0WfW52goCwAAAAAAYAAAA/PwA/AACAAAAAAAA8L8C8mPMXUvIBMACPE7RkVz+978AAAAAGAAAAPz8APwAAgAAAAAAAPC/AvJjzF1LyPS/AgvXo3A9Cg7AAAAAABgAAAD8/AD8AAIAAAAAAADwvwLyY8xdS8j0PwIL16NwPQoOwAAAAAAgAAAA/PwA/AACAAAAAAAA8L8C8mPMXUvIBMAAAAAAABgAAAD8/AD8AAIAAAAAAADwvwLqlbIMcSwPwAK0WfW52goCwAAAAAAYAAAA/PwA/AACAAAAAAAA8L8AAtBE2PD0ChLAAAAAABgAAAD8/AD8AAIAAAAAAADwvwLyY8xdS8gEQALQRNjw9AoSwAAAAAAYAAAA/PwA/AACAAAAAAAA8L8CG55eKcsQFcAC+8vuycNC+r8AAAAAGAAAAPz8APwAAgAAAAAAAPC/AmwJ+aBnMxDAAv0Yc9cS8g3AAAAAACQAAAD8/AD8AAIAAAAAAADwvwLqlbIMcSwPQAIL16NwPQoOwAAAAAAkAAAA/PwA/AACAAAAAAAA8L8C8mPMXUvIBEACX5hMFYwKGMAAAAAAJAAAAPz8APwAAgAAAAAAAPC/AuqVsgxxLA9AAhQ/xty1BBXAAAAAACAAAAD8/AD8AAIAAAAAAADwvwIxmSoYlRQZwALf4AuTqQIGwAAAAAAYAAAA/PwA/AACAAAAAAAA8L8CCRueXilLFsACl5APejarxr8AAAAAHAAAAPz8APwAAgAAAAAAAPC/AuY/pN++DhbAAmwJ+aBnMxDAAAAAABgAAAD8/AD8AAIAAAAAAADwvwKl374OnHMUwAKCc0aU9gb0PwAAAAAYAAAA/PwA/AACAAAAAAAA8L8CHxZqTfNOGsACfq62Yn/Z7T8AAAAAARoABAFlCAAAAAAAAAAAAAgBZQgAAAAAAAAAAAAMAWUEAAAAAAAAAAAAEAFlBAAAAAAAAAAADBQBZQgIAAAAAAAAAAwYAWUEAAAAAAAAAAAUHAFlBAAAAAAAAAAAFCABZQQAAAAAAAAAABgkAWUIDAAAAAAAAAAcKAFlCAAAAAAAAAAAHCwBZQQAAAAAAAAAACAwAWUICAAAAAAAAAAkNAFlBAAAAAAAAAAALDgBZQgMAAAAAAAAACw8AWUEAAAAAAAAAAA0ARABZQQAAAAAAAAAADQBEQFlBAAAAAAAAAAANAESAWUEAAAAAAAAAAA4ARMBZQQAAAAAAAAAADgBFAFlBAAAAAAAAAAAPAEVAWUICAAAAAAAAAABFAEWAWUEAAAAAAAAAAABFAEXAWUEAAAAAAAAAAAkMAFlBAAAAAAAAAAAARMBFQFlBAAAAAAAAAAAARYBFwFlBAAAAAAAAAAAAAAAAA==</t>
        </r>
      </text>
    </comment>
    <comment ref="A209" authorId="0" shapeId="0" xr:uid="{FE356095-8C2D-4C87-9BBD-3C77E49FB40A}">
      <text>
        <r>
          <rPr>
            <sz val="9"/>
            <color indexed="81"/>
            <rFont val="Segoe UI"/>
            <charset val="1"/>
          </rPr>
          <t>Insight iXlW00001C0000209R0080105531S00000416P01908LAocjBAQBF1NjaVRlZ2ljLmRhdGEuTW9sZWN1bGUBbwF/ARJTY2lUZWdpYy5Nb2xlY3VsZQAAAQFkAv5qAQAAAAIAAgEZAREAAAD8/AD8AAIAAAAAAADwvwAAAAAAABgAAAD8/AD8AAIAAAAAAADwvwIxKqkT0ESYvwLRs1n1udr3vwAAAAAYAAAA/PwA/AACAAAAAAAA8L8CGXPXEvJB9D8C+THmriXkAcAAAAAAGAAAAPz8APwAAgAAAAAAAPC/AktZhjjWxfW/Avkx5q4l5AHAAAAAACAAAAD8/AD8AAIAAAAAAADwvwJuxf6ye3IEQALwFkhQ/Bj3vwAAAAAcAAAA/PwA/AACAAAAAAAA8L8C4noUrkfh8z8CGuJYF7fRDcAAAAAAGAAAAPz8APwAAgAAAAAAAPC/AoNRSZ2AJva/AhriWBe30Q3AAAAAABgAAAD8/AD8AAIAAAAAAADwvwJP0ZFc/sMOQAKJY13cRoMBwAAAAAAYAAAA/PwA/AACAAAAAAAA8L8CIGPuWkI+uL8C63O1FfvLEcAAAAAAAREAAAD8/AD8AAIAAAAAAADwvwJLWYY41sUFwALrc7UV+8sRwAAAAAAYAAAA/PwA/AACAAAAAAAA8L8CmG4Sg8CKFEACEHo2qz5X9r8AAAAAGAAAAPz8APwAAgAAAAAAAPC/Avp+arx0kw5AAnE9CtejcA3AAAAAABgAAAD8/AD8AAIAAAAAAADwvwKI9NvXgbMZQAIYldQJaCIBwAAAAAAYAAAA/PwA/AACAAAAAAAA8L8CbsX+sntyFEAClyGOdXGbEcAAAAAAGAAAAPz8APwAAgAAAAAAAPC/Al5LyAc9mxlAAgFvgQTFDw3AAAAAACAAAAD8/AD8AAIAAAAAAADwvwJP0ZFc/sMeQAJeukkMAmsRwAAAAAAYDAAA/PwA/AACAAAAAAAA8L8CJCh+jLmrHkACbxKDwMphF8AAAAAAGAAAAPz8APwAAgAAAAAAAPC/AgrXo3A96iFAAlvTvOMUXRrAAAAAABgAAAD8/AD8AAIAAAAAAADwvwL8OnDOiFIZQAJb07zjFF0awAAAAAAgAAAA/PwA/AACAAAAAAAA8L8CA5oIG55+JEACG8BbIEExF8AAAAAAHAAAAPz8APwAAgAAAAAAAPC/AqCrrdhf9iFAAjlFR3L5LyDAAAAAACAAAAD8/AD8AAIAAAAAAADwvwLqlbIMcWwkQAIK16NwPeohwAAAAAAYAAAA/PwA/AACAAAAAAAA8L8CuECC4scYH0ACI9v5fmr8IcAAAAAAGAAAAPz8APwAAgAAAAAAAPC/Ai6QoPgxhiNAAmWqYFRSxyTAAAAAABgAAAD8/AD8AAIAAAAAAADwvwIxKqkT0IQgQAJsCfmgZ9MkwAAAAAABGwAEAWUEAAAAAAAAAAAECAFlCAgAAAAAAAAABAwBZQQAAAAAAAAAAAgQAWUEAAAAAAAAAAAIFAFlBAAAAAAAAAAADBgBZQgMAAAAAAAAABAcAWUEAAAAAAAAAAAUIAFlCAgAAAAAAAAAGCQBZQQAAAAAAAAAABwoAWUIDAAAAAAAAAAcLAFlBAAAAAAAAAAAKDABZQQAAAAAAAAAACw0AWUICAAAAAAAAAAwOAFlCAwAAAAAAAAAODwBZQQAAAAAAAAAADwBEAFlBAAAAAAAAAAAARABEQFlBAAAAAAAAAAAARABEgFlBBQAAAAAAAAAAREBEwFlCAAAAAAAAAAAAREBFAFlBAAAAAAAAAAAARQBFQFlBAAAAAAAAAAAARQBFgFlBAAAAAAAAAAAARUBFwFlBAAAAAAAAAAAARYBGAFlBAAAAAAAAAAAGCABZQQAAAAAAAAAADQ4AWUEAAAAAAAAAAABFwEYAWUEAAAAAAAAAAAAAAAA</t>
        </r>
      </text>
    </comment>
    <comment ref="A210" authorId="0" shapeId="0" xr:uid="{9D2CD2C4-893B-4B0B-9A60-6CA45C343FD1}">
      <text>
        <r>
          <rPr>
            <sz val="9"/>
            <color indexed="81"/>
            <rFont val="Segoe UI"/>
            <charset val="1"/>
          </rPr>
          <t>Insight iXlW00001C0000210R0080105531S00000418P02276LAocjBAQBF1NjaVRlZ2ljLmRhdGEuTW9sZWN1bGUBbwF/ARJTY2lUZWdpYy5Nb2xlY3VsZQAAAQFkAv5qAQAAAAIAAgEfAREAAAD8/AD8AAIAAAAAAADwvwAAAAAAABgAAAD8/AD8AAIAAAAAAADwvwAC6Ugu/yH99z8AAAAAGAAAAPz8APwAAgAAAAAAAPC/Ap5eKcsQx/Q/AtIA3gIJCgJAAAAAABgAAAD8/AD8AAIAAAAAAADwvwKeXinLEMf0vwLSAN4CCQoCQAAAAAAgAAAA/PwA/AACAAAAAAAA8L8C1zTvOEXHBEAC6Ugu/yH99z8AAAAAGAAAAPz8APwAAgAAAAAAAPC/Ap5eKcsQx/Q/AkYldQKaCA5AAAAAABgAAAD8/AD8AAIAAAAAAADwvwKeXinLEMf0vwJGJXUCmggOQAAAAAAYAAAA/PwA/AACAAAAAAAA8L8CJuSDns0qD0AC0gDeAgkKAkAAAAAAGAAAAPz8APwAAgAAAAAAAPC/AALLoUW28/0RQAAAAAAYAAAA/PwA/AACAAAAAAAA8L8C1zTvOEXHBMACy6FFtvP9EUAAAAAAGAAAAPz8APwAAgAAAAAAAPC/Atc07zhFxxRAAulILv8h/fc/AAAAABgAAAD8/AD8AAIAAAAAAADwvwIm5IOezSoPQAJGJXUCmggOQAAAAAAkAAAA/PwA/AACAAAAAAAA8L8CJuSDns0qD8AC+g/pt68DFUAAAAAAJAAAAPz8APwAAgAAAAAAAPC/Atc07zhFxwTAAgU0ETY8/RdAAAAAACQAAAD8/AD8AAIAAAAAAADwvwIm5IOezSoPwAJGJXUCmggOQAAAAAAYAAAA/PwA/AACAAAAAAAA8L8Cf4y5awn5GUAC0gDeAgkKAkAAAAAAGAAAAPz8APwAAgAAAAAAAPC/Atc07zhFxxRAAsuhRbbz/RFAAAAAABgAAAD8/AD8AAIAAAAAAADwvwJ/jLlrCfkZQAJGJXUCmggOQAAAAAAYAAAA/PwA/AACAAAAAAAA8L8CJuSDns0qH0AC6Ugu/yH99z8AAAAAHAAEAPz8APwAAgAAAAAAAPC/Aibkg57NKh9AAsuhRbbz/RFAAAAAACAAAAD8/AD8AAIAAAAAAADwvwJ1kxgEVi4iQALSAN4CCQoCQAAAAAAgAAAA/PwA/AACAAAAAAAA8L8CJuSDns0qH0AAAAAAACAAAAD8/AD8AAIAAAAAAADwvwIm5IOezSofQAIFNBE2PP0XQAAAAAAgAPwA/PwA/AACAAAAAAAA8L8CdZMYBFYuIkACRiV1ApoIDkAAAAAAGAwAAPz8APwAAgAAAAAAAPC/AnWTGARWLiJAAnZxGw3gLei/AAAAABgAAAD8/AD8AAIAAAAAAADwvwJJv30dOMckQAAAAAAAGAAAAPz8APwAAgAAAAAAAPC/AnWTGARWLiJAAtIA3gIJCgLAAAAAACAAAAD8/AD8AAIAAAAAAADwvwJJv30dOMckQALpSC7/If33PwAAAAAgAAAA/PwA/AACAAAAAAAA8L8CHeviNhpgJ0ACdnEbDeAt6L8AAAAAGAAAAPz8APwAAgAAAAAAAPC/An+MuWsJ+SlAAAAAAAAYAAAA/PwA/AACAAAAAAAA8L8CUrgeheuRLEACdnEbDeAt6L8AAAAAASA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CAwAAAAAAAAAPAESAWUEAAAAAAAAAAABEQETAWUEAAAAAAAAAAABEgEUAWUIAAAAAAAAAAABEgEVAWUEAAAAAAAAAAABEwEWAWUIAAAAAAAAAAABEwEXAWUEAAAAAAAAAAABFQEYAWUEAAAAAAAAAAABGAEZAWUEAAAAAAAAAAABGAEaAWUEFAAAAAAAAAABGQEbAWUIAAAAAAAAAAABGQEcAWUEAAAAAAAAAAABHAEdAWUEAAAAAAAAAAABHQEeAWUEAAAAAAAAAAAYIAFlBAAAAAAAAAAAARABEQFlBAAAAAAAAAAAAAAAAA==</t>
        </r>
      </text>
    </comment>
    <comment ref="A211" authorId="0" shapeId="0" xr:uid="{2F5B8B73-CED0-4346-95D7-E032F15DC92C}">
      <text>
        <r>
          <rPr>
            <sz val="9"/>
            <color indexed="81"/>
            <rFont val="Segoe UI"/>
            <charset val="1"/>
          </rPr>
          <t>Insight iXlW00001C0000211R0080105531S00000420P01296LAocjBAQBF1NjaVRlZ2ljLmRhdGEuTW9sZWN1bGUBbwF/ARJTY2lUZWdpYy5Nb2xlY3VsZQAAAQFkAv5qAQAAAAIAAgERIAAAAPz8APwAAgAAAAAAAPC/AAAAAAAAGAAAAPz8APwAAgAAAAAAAPC/AAJTBaOSOgH4vwAAAAAcAAAA/PwA/AACAAAAAAAA8L8CmG4Sg8DK9L8CFNBE2PD0AcAAAAAAHAAAAPz8APwAAgAAAAAAAPC/AphuEoPAyvQ/AiKOdXEbDQLAAAAAABgAAAD8/AD8AAIAAAAAAADwvwKYbhKDwMr0vwK+UpYhjvUNwAAAAAAYAAAA/PwA/AACAAAAAAAA8L8CmG4Sg8DKBMACOIlBYOXQ978AAAAAGAAAAPz8APwAAgAAAAAAAPC/AphuEoPAyvQ/AswQx7q4DQ7AAAAAACAAAAD8/AD8AAIAAAAAAADwvwKYbhKDwMoEwAIU0ETY8PQRwAAAAAAYAAAA/PwA/AACAAAAAAAA8L8AAhsv3SQGARLAAAAAABgAAAD8/AD8AAIAAAAAAADwvwLkpZvEIDAPwAIGEhQ/xtwBwAAAAAAYAAAA/PwA/AACAAAAAAAA8L8CmG4Sg8DKBMAC7Q2+MJkqiD8AAAAAGAAAAPz8APwAAgAAAAAAAPC/AkjhehSuRwNAAgkbnl4pCxPAAAAAABgAAAD8/AD8AAIAAAAAAADwvwJiMlUwKqnTPwJb07zjFN0XwAAAAAAYAAAA/PwA/AACAAAAAAAA8L8CmG4Sg8DKFMACHA3gLZCg978AAAAAGAAAAPz8APwAAgAAAAAAAPC/AuSlm8QgMA/AAhgmUwWjkug/AAAAABgAAAD8/AD8AAIAAAAAAADwvwLQ1VbsL7v8PwL129eBc4YYwAAAAAAYAAAA/PwA/AACAAAAAAAA8L8CmG4Sg8DKFMAC7Q2+MJkqmD8AAAAAARMABAFlCAAAAAAAAAAABAgBZQQAAAAAAAAAAAQMAWUEAAAAAAAAAAAIEAFlBAAAAAAAAAAACBQBZQQAAAAAAAAAAAwYAWUEAAAAAAAAAAAQHAFlCAAAAAAAAAAAECABZQQAAAAAAAAAABQkAWUEAAAAAAAAAAAUKAFlBAAAAAAAAAAAGCwBZQQAAAAAAAAAACAwAWUEAAAAAAAAAAAkNAFlBAAAAAAAAAAAKDgBZQQAAAAAAAAAACw8AWUEAAAAAAAAAAA0ARABZQQAAAAAAAAAABggAWUICAAAAAAAAAAwPAFlBAAAAAAAAAAAOAEQAWUEAAAAAAAAAAAAAAAA</t>
        </r>
      </text>
    </comment>
    <comment ref="A212" authorId="0" shapeId="0" xr:uid="{B4C45070-9AFF-47D6-AA61-A6097AFDAD88}">
      <text>
        <r>
          <rPr>
            <sz val="9"/>
            <color indexed="81"/>
            <rFont val="Segoe UI"/>
            <charset val="1"/>
          </rPr>
          <t>Insight iXlW00001C0000212R0080105531S00000422P01096LAocjBAQBF1NjaVRlZ2ljLmRhdGEuTW9sZWN1bGUBbwF/ARJTY2lUZWdpYy5Nb2xlY3VsZQAAAQFkAv5qAQAAAAIAAjwBEQAAAPz8APwAAgAAAAAAAPC/AAAAAAAAGAAAAPz8APwAAgAAAAAAAPC/Ap5eKcsQx/Q/ApQYBFYOLeg/AAAAABgAAAD8/AD8AAIAAAAAAADwvwKeXinLEMf0PwKZKhiV1AkCQAAAAAAYAAAA/PwA/AACAAAAAAAA8L8Cnl4pyxDHBEAAAAAAAAERAAAA/PwA/AACAAAAAAAA8L8AAulILv8h/QdAAAAAABgAAAD8/AD8AAIAAAAAAADwvwKeXinLEMcEQALpSC7/If0HQAAAAAAYAAAA/PwA/AACAAAAAAAA8L8C7g2+MJkqD0AClBgEVg4t6D8AAAAAGAAAAPz8APwAAgAAAAAAAPC/Au4NvjCZKg9AApkqGJXUCQJAAAAAABwAAAD8/AD8AAIAAAAAAADwvwKeXinLEMcUQAAAAAAAGAAAAPz8APwAAgAAAAAAAPC/Aka28/3U+BlAApQYBFYOLeg/AAAAACAAAAD8/AD8AAIAAAAAAADwvwJGtvP91PgZQAKZKhiV1AkCQAAAAAAcAAAA/PwA/AACAAAAAAAA8L8C7g2+MJkqH0AAAAAAACAAAAD8/AD8AAIAAAAAAADwvwLuDb4wmSofQALpSC7/If33vwAAAAAYAAAA/PwA/AACAAAAAAAA8L8CyzLEsS4uIkAClBgEVg4t6D8AAAAAGAAAAPz8APwAAgAAAAAAAPC/AssyxLEuLiJAAoxs5/up8QHAAAAAADwABAFlBAAAAAAAAAAABAgBZQgIAAAAAAAAAAQMAWUEAAAAAAAAAAAIEAFlBAAAAAAAAAAACBQBZQQAAAAAAAAAAAwYAWUIDAAAAAAAAAAUHAFlCAgAAAAAAAAAGCABZQQAAAAAAAAAACAkAWUEAAAAAAAAAAAkKAFlCAAAAAAAAAAAJCwBZQQAAAAAAAAAACwwAWUEAAAAAAAAAAAsNAFlBAAAAAAAAAAAMDgBZQQAAAAAAAAAABgcAWUEAAAAAAAAAAAAAAAA</t>
        </r>
      </text>
    </comment>
    <comment ref="A213" authorId="0" shapeId="0" xr:uid="{929FC70D-9707-46FF-8BE3-A7815A5A6384}">
      <text>
        <r>
          <rPr>
            <sz val="9"/>
            <color indexed="81"/>
            <rFont val="Segoe UI"/>
            <charset val="1"/>
          </rPr>
          <t>Insight iXlW00001C0000213R0080105531S00000424P00996LAocjBAQBF1NjaVRlZ2ljLmRhdGEuTW9sZWN1bGUBbwF/ARJTY2lUZWdpYy5Nb2xlY3VsZQAAAQFkAv5qAQAAAAIAAjQBEQAAAPz8APwAAgAAAAAAAPC/AAAAAAAAGAAAAPz8APwAAgAAAAAAAPC/AsP1KFyPwvQ/Ag8LtaZ5x+e/AAAAABgAAAD8/AD8AAIAAAAAAADwvwL7y+7Jw8IEQALtDb4wmSqIPwAAAAAYAAAA/PwA/AACAAAAAAAA8L8Cw/UoXI/C9D8Cklz+Q/rtAcAAAAAAGAAAAPz8APwAAgAAAAAAAPC/At1GA3gLJA9AAg8LtaZ5x+e/AAAAABgAAAD8/AD8AAIAAAAAAADwvwL7y+7Jw8IEQAJkXdxGA/gHwAAAAAAYAAAA/PwA/AACAAAAAAAA8L8C3UYDeAskD0ACklz+Q/rtAcAAAAAAGAAAAPz8APwAAgAAAAAAAPC/At/gC5OpwhRAAu0NvjCZKog/AAAAACAAAAD8/AD8AAIAAAAAAADwvwLf4AuTqcIUQAJkXdxGA/gHwAAAAAAYAAAA/PwA/AACAAAAAAAA8L8CbAn5oGfzGUACklz+Q/rtAcAAAAAAGAAAAPz8APwAAgAAAAAAAPC/At1GA3gLJB9AAmRd3EYD+AfAAAAAACAAAAD8/AD8AAIAAAAAAADwvwInwoanVyoiQAKSXP5D+u0BwAAAAAAgAAAA/PwA/AACAAAAAAAA8L8C3UYDeAskH0ACmbuWkA/6EcAAAAAANAAEAWUEAAAAAAAAAAAECAFlCAwAAAAAAAAABAwBZQQAAAAAAAAAAAgQAWUEAAAAAAAAAAAMFAFlCAgAAAAAAAAAEBgBZQgMAAAAAAAAABAcAWUEAAAAAAAAAAAYIAFlBAAAAAAAAAAAICQBZQQAAAAAAAAAACQoAWUEAAAAAAAAAAAoLAFlCAAAAAAAAAAAKDABZQQAAAAAAAAAABQYAWUEAAAAAAAAAAAAAAAA</t>
        </r>
      </text>
    </comment>
    <comment ref="A214" authorId="0" shapeId="0" xr:uid="{EE7190C6-3C42-413C-BEC7-9EFF05C306BF}">
      <text>
        <r>
          <rPr>
            <sz val="9"/>
            <color indexed="81"/>
            <rFont val="Segoe UI"/>
            <charset val="1"/>
          </rPr>
          <t>Insight iXlW00001C0000214R0080105531S00000426P01116LAocjBAQBF1NjaVRlZ2ljLmRhdGEuTW9sZWN1bGUBbwF/ARJTY2lUZWdpYy5Nb2xlY3VsZQAAAQFkAv5qAQAAAAIAAjwBEQAAAPz8APwAAgAAAAAAAPC/AAAAAAAAGAAAAPz8APwAAgAAAAAAAPC/AutztRX7y/Q/AsKGp1fKMui/AAAAABgAAAD8/AD8AAIAAAAAAADwvwLrc7UV+8sEQAAAAAAAGAAAAPz8APwAAgAAAAAAAPC/AutztRX7y/Q/Ajy9UpYhDgLAAAAAABgAAAD8/AD8AAIAAAAAAADwvwLgLZCg+DEPQALChqdXyjLovwAAAAAYAAAA/PwA/AACAAAAAAAA8L8C63O1FfvLBEAC3+ALk6kCCMAAAAAAGAAAAPz8APwAAgAAAAAAAPC/AuAtkKD4MQ9AAjy9UpYhDgLAAAAAABgAAAD8/AD8AAIAAAAAAADwvwLPiNLe4MsUQAAAAAAAIAAAAPz8APwAAgAAAAAAAPC/As+I0t7gyxRAAt/gC5OpAgjAAAAAABgAAAD8/AD8AAIAAAAAAADwvwLJ5T+k3/4ZQAI8vVKWIQ4CwAAAAAAYAAAA/PwA/AACAAAAAAAA8L8CxEKtad4xH0AC3+ALk6kCCMAAAAAAGAAAAPz8APwAAgAAAAAAAPC/At9PjZduMiJAAjy9UpYhDgLAAAAAABgAAAD8/AD8AAIAAAAAAADwvwJd/kP67cskQALf4AuTqQIIwAAAAAAgAAAA/PwA/AACAAAAAAAA8L8CXf5D+u3LJEACNV66SQwCEsAAAAAAIAAAAPz8APwAAgAAAAAAAPC/Atqs+lxtZSdAAjy9UpYhDgLAAAAAADwABAFlBAAAAAAAAAAABAgBZQgMAAAAAAAAAAQMAWUEAAAAAAAAAAAIEAFlBAAAAAAAAAAADBQBZQgIAAAAAAAAABAYAWUIDAAAAAAAAAAQHAFlBAAAAAAAAAAAGCABZQQAAAAAAAAAACAkAWUEAAAAAAAAAAAkKAFlBAAAAAAAAAAAKCwBZQQAAAAAAAAAACwwAWUEAAAAAAAAAAAwNAFlCAAAAAAAAAAAMDgBZQQAAAAAAAAAABQYAWUEAAAAAAAAAAAAAAAA</t>
        </r>
      </text>
    </comment>
    <comment ref="A215" authorId="0" shapeId="0" xr:uid="{6AE8B285-7BE5-42C4-B11C-84E494C8A131}">
      <text>
        <r>
          <rPr>
            <sz val="9"/>
            <color indexed="81"/>
            <rFont val="Segoe UI"/>
            <charset val="1"/>
          </rPr>
          <t>Insight iXlW00001C0000215R0080105531S00000428P00456LAocjBAQBF1NjaVRlZ2ljLmRhdGEuTW9sZWN1bGUBbwF/ARJTY2lUZWdpYy5Nb2xlY3VsZQAAAQFkAv5qAQAAAAIAAhgBIQAAAPz8APwAAgAAAAAAAPC/AAAAAAAAIAAAAPz8APwAAgAAAAAAAPC/AALiWBe30QD4PwAAAAAgAAAA/PwA/AACAAAAAAAA8L8CpwpGJXUC8T8Ci47k8h/S8L8AAAAAIAD8APz8APwAAgAAAAAAAPC/AnNoke18P/c/Av7UeOkmMdi/AAAAABgAAAD8/AD8AAIAAAAAAADwvwInwoanV8r0vwL+1HjpJjHovwAAAAAsAAQA/PwA/AACAAAAAAAA8L8CTmIQWDm0CUAC/tR46SYxuD8AAAAAEAAEAWUIAAAAAAAAAAAACAFlBAAAAAAAAAAAAAwBZQQAAAAAAAAAAAAQAWUEAAAAAAAAAAAAAAAA</t>
        </r>
      </text>
    </comment>
    <comment ref="A216" authorId="0" shapeId="0" xr:uid="{23C75689-0326-49D1-91CB-8BB66E06F66B}">
      <text>
        <r>
          <rPr>
            <sz val="9"/>
            <color indexed="81"/>
            <rFont val="Segoe UI"/>
            <charset val="1"/>
          </rPr>
          <t>Insight iXlW00001C0000216R0080105531S00000430P01048LAocjBAQBF1NjaVRlZ2ljLmRhdGEuTW9sZWN1bGUBbwF/ARJTY2lUZWdpYy5Nb2xlY3VsZQAAAQFkAv5qAQAAAAIAAjgBEQAAAPz8APwAAgAAAAAAAPC/AAAAAAAAGAAAAPz8APwAAgAAAAAAAPC/AsfctYR80PQ/Arn8h/Tb1+e/AAAAABgAAAD8/AD8AAIAAAAAAADwvwL/snvysNAEQAAAAAAAGAAAAPz8APwAAgAAAAAAAPC/AsfctYR80PQ/Apm7lpAP+gHAAAAAABgAAAD8/AD8AAIAAAAAAADwvwJiodY07zgPQAK5/If029fnvwAAAAAYAAAA/PwA/AACAAAAAAAA8L8C/7J78rDQBEACx7q4jQbwB8AAAAAAGAAAAPz8APwAAgAAAAAAAPC/AmKh1jTvOA9AApm7lpAP+gHAAAAAABgAAAD8/AD8AAIAAAAAAADwvwL/snvysNAUQAAAAAAAIAAAAPz8APwAAgAAAAAAAPC/Av+ye/Kw0BRAAse6uI0G8AfAAAAAABgMAAD8/AD8AAIAAAAAAADwvwIxKqkT0AQaQAKZu5aQD/oBwAAAAAAYAAAA/PwA/AACAAAAAAAA8L8Cf4y5awk5H0ACx7q4jQbwB8AAAAAAGAAAAPz8APwAAgAAAAAAAPC/AjEqqRPQBBpAArn8h/Tb1+e/AAAAACAAAAD8/AD8AAIAAAAAAADwvwLYgXNGlDYiQAKZu5aQD/oBwAAAAAAgAAAA/PwA/AACAAAAAAAA8L8Cf4y5awk5H0ACmbuWkA/6EcAAAAAAOAAEAWUEAAAAAAAAAAAECAFlCAwAAAAAAAAABAwBZQQAAAAAAAAAAAgQAWUEAAAAAAAAAAAMFAFlCAgAAAAAAAAAEBgBZQgMAAAAAAAAABAcAWUEAAAAAAAAAAAYIAFlBAAAAAAAAAAAICQBZQQAAAAAAAAAACQoAWUEAAAAAAAAAAAkLAFlBBAAAAAAAAAAKDABZQgAAAAAAAAAACg0AWUEAAAAAAAAAAAUGAFlBAAAAAAAAAAAAAAAAA==</t>
        </r>
      </text>
    </comment>
    <comment ref="A217" authorId="0" shapeId="0" xr:uid="{893989F8-36D7-47F0-ACA4-842E72EDFAA1}">
      <text>
        <r>
          <rPr>
            <sz val="9"/>
            <color indexed="81"/>
            <rFont val="Segoe UI"/>
            <charset val="1"/>
          </rPr>
          <t>Insight iXlW00001C0000217R0080105531S00000432P01356LAocjBAQBF1NjaVRlZ2ljLmRhdGEuTW9sZWN1bGUBbwF/ARJTY2lUZWdpYy5Nb2xlY3VsZQAAAQFkAv5qAQAAAAIAAgESIAAAAPz8APwAAgAAAAAAAPC/AAAAAAAAHAAEAPz8APwAAgAAAAAAAPC/ApJc/kP67fS/AvA4RUdy+ee/AAAAACAA/AD8/AD8AAIAAAAAAADwvwKsrdhfdk8FwAIRWDm0yHauPwAAAAAYAAAA/PwA/AACAAAAAAAA8L8Cklz+Q/rt9L8CwqikTkATAsAAAAAAGAAAAPz8APwAAgAAAAAAAPC/AnRGlPYGX6i/AmMQWDm0yAfAAAAAABgAAAD8/AD8AAIAAAAAAADwvwKSXP5D+u0EwAL99nXgnBEIwAAAAAAgAAAA/PwA/AACAAAAAAAA8L8CKe0NvjCZ8z8CDXGsi9toAcAAAAAAGAAAAPz8APwAAgAAAAAAAPC/AnRGlPYGX6i/AnS1FfvL7hHAAAAAABgAAAD8/AD8AAIAAAAAAADwvwKSXP5D+u0EwALek4eFWhMSwAAAAAAYAAAA/PwA/AACAAAAAAAA8L8ClfYGX5hMD8ACwqikTkATAsAAAAAAGAAAAPz8APwAAgAAAAAAAPC/Asb+snvysPW/ApJc/kP67RTAAAAAABgAAAD8/AD8AAIAAAAAAADwvwKcxCCwcmjzPwIFNBE2PL0UwAAAAAAcAAQA/PwA/AACAAAAAAAA8L8C24r9ZfdkD8ACtaZ5xyn6FMAAAAAAGAAAAPz8APwAAgAAAAAAAPC/An0/NV66yQNAAndPHhZqjRHAAAAAABgAAAD8/AD8AAIAAAAAAADwvwJoImx4eqXyPwLXo3A9CpcawAAAAAAYAAAA/PwA/AACAAAAAAAA8L8CUfwYc9cSBEACI9v5fmq8F8AAAAAAIAAAAPz8APwAAgAAAAAAAPC/AtuK/WX3ZA/AAhQ/xty1BBvAAAAAACAA/AD8/AD8AAIAAAAAAADwvwIfhetRuB4VwAIK16NwPcoRwAAAAAABEgAEAWUIAAAAAAAAAAAECAFlBAAAAAAAAAAABAwBZQQAAAAAAAAAAAwQAWUICAAAAAAAAAAMFAFlBAAAAAAAAAAAEBgBZQQAAAAAAAAAABAcAWUEAAAAAAAAAAAUIAFlCAwAAAAAAAAAFCQBZQQAAAAAAAAAABwoAWUICAAAAAAAAAAcLAFlBAAAAAAAAAAAIDABZQQAAAAAAAAAACw0AWUEAAAAAAAAAAAsOAFlBAAAAAAAAAAALDwBZQQAAAAAAAAAADABEAFlCAAAAAAAAAAAMAERAWUEAAAAAAAAAAAgKAFlBAAAAAAAAAAAAAAAAA==</t>
        </r>
      </text>
    </comment>
    <comment ref="A218" authorId="0" shapeId="0" xr:uid="{0A98A864-17BD-4CB2-A20D-23304E768FF3}">
      <text>
        <r>
          <rPr>
            <sz val="9"/>
            <color indexed="81"/>
            <rFont val="Segoe UI"/>
            <charset val="1"/>
          </rPr>
          <t>Insight iXlW00001C0000218R0080105531S00000434P01612LAocjBAQBF1NjaVRlZ2ljLmRhdGEuTW9sZWN1bGUBbwF/ARJTY2lUZWdpYy5Nb2xlY3VsZQAAAQFkAv5qAQAAAAIAAgEVARAAAAD8/AD8AAIAAAAAAADwvwAAAAAAABgAAAD8/AD8AAIAAAAAAADwvwJiMlUwKqnDvwJt5/up8dL3PwAAAAAYAAAA/PwA/AACAAAAAAAA8L8CxEKtad5x9z8CYjJVMCqp078AAAAAIAAAAPz8APwAAgAAAAAAAPC/AqjGSzeJQfe/AlkXt9EA3gFAAAAAABwAAAD8/AD8AAIAAAAAAADwvwIoDwu1pnnzPwKHFtnO99MAQAAAAAAYAAAA/PwA/AACAAAAAAAA8L8CPZtVn6utAUACpU5AE2HD7z8AAAAAGAAAAPz8APwAAgAAAAAAAPC/AktZhjjWxQFAAvRsVn2utvm/AAAAABgAAAD8/AD8AAIAAAAAAADwvwKCc0aU9gYGwALgvg6cM6L3PwAAAAAYAAAA/PwA/AACAAAAAAAA8L8CAk2EDU+vDUACpU5AE2HD7z8AAAAAGAAAAPz8APwAAgAAAAAAAPC/AhALtaZ5xw1AAvRsVn2utvm/AAAAABgAAAD8/AD8AAIAAAAAAADwvwLYgXNGlDYQwAJLWYY41sUBQAAAAAAYAAAA/PwA/AACAAAAAAAA8L8CdQKaCBveEUACYjJVMCqp078AAAAAIAAAAPz8APwAAgAAAAAAAPC/AtiBc0aUNhDAAhALtaZ5xw1AAAAAABwAAAD8/AD8AAIAAAAAAADwvwLvycNCrWkVwALEQq1p3nH3PwAAAAAYAAAA/PwA/AACAAAAAAAA8L8CBhIUP8acGsACPZtVn6utAUAAAAAAGAAAAPz8APwAAgAAAAAAAPC/Au/Jw0KtaRXAApQYBFYOLaK/AAAAABgAAAD8/AD8AAIAAAAAAADwvwIdWmQ7388fwAKoxks3iUH3PwAAAAAYAAAA/PwA/AACAAAAAAAA8L8CBhIUP8acGsACAk2EDU+vDUAAAAAAGAAAAPz8APwAAgAAAAAAAPC/AhpR2ht8gSLAAi/dJAaBlQFAAAAAABgAAAD8/AD8AAIAAAAAAADwvwIdWmQ7388fwAJuowG8BdIRQAAAAAAYAAAA/PwA/AACAAAAAAAA8L8CGlHaG3yBIsAC9I5TdCSXDUAAAAAAARcABAFlBAAAAAAAAAAAAAgBZQQAAAAAAAAAAAQMAWUEAAAAAAAAAAAEEAFlCAgAAAAAAAAACBQBZQgMAAAAAAAAAAgYAWUEAAAAAAAAAAAMHAFlBAAAAAAAAAAAFCABZQQAAAAAAAAAABgkAWUICAAAAAAAAAAcKAFlBAAAAAAAAAAAICwBZQgIAAAAAAAAACgwAWUIAAAAAAAAAAAoNAFlBAAAAAAAAAAANDgBZQQAAAAAAAAAADQ8AWUEAAAAAAAAAAA4ARABZQgMAAAAAAAAADgBEQFlBAAAAAAAAAAAARABEgFlBAAAAAAAAAAAAREBEwFlCAgAAAAAAAAAARIBFAFlCAgAAAAAAAAAEBQBZQQAAAAAAAAAACQsAWUEAAAAAAAAAAABEwEUAWUEAAAAAAAAAAAAAAAA</t>
        </r>
      </text>
    </comment>
    <comment ref="A219" authorId="0" shapeId="0" xr:uid="{B0CCF606-FCC3-4E88-AB85-B02EBAED891C}">
      <text>
        <r>
          <rPr>
            <sz val="9"/>
            <color indexed="81"/>
            <rFont val="Segoe UI"/>
            <charset val="1"/>
          </rPr>
          <t>Insight iXlW00001C0000219R0080105531S00000436P01504LAocjBAQBF1NjaVRlZ2ljLmRhdGEuTW9sZWN1bGUBbwF/ARJTY2lUZWdpYy5Nb2xlY3VsZQAAAQFkAv5qAQAAAAIAAgEUARAAAAD8/AD8AAIAAAAAAADwvwAAAAAAACAAAAD8/AD8AAIAAAAAAADwvwJos+pztRX1vwINAiuHFtnoPwAAAAAgAAAA/PwA/AACAAAAAAAA8L8CMLsnDwu19D8C8tJNYhBY578AAAAAHAAAAPz8APwAAgAAAAAAAPC/AvLSTWIQWOc/Amiz6nO1FfU/AAAAABgAAAD8/AD8AAIAAAAAAADwvwK3Yn/ZPXnovwIwuycPC7X0vwAAAAAYAAAA/PwA/AACAAAAAAAA8L8CJ8KGp1fKAUACE4PAyqFF9T8AAAAAJAAAAPz8APwAAgAAAAAAAPC/Aots5/up8eA/AlVSJ6CJMADAAAAAACQAAAD8/AD8AAIAAAAAAADwvwJiMlUwKqkAwAKLbOf7qfHgvwAAAAAkAAAA/PwA/AACAAAAAAAA8L8CYjJVMCqp+L8CaZHtfD+1BMAAAAAAGAAAAPz8APwAAgAAAAAAAPC/AqtgVFInoAdAAj2bVZ+rLQVAAAAAABgAAAD8/AD8AAIAAAAAAADwvwKrYFRSJ6AHQAJR/Bhz1xKiPwAAAAAYAAAA/PwA/AACAAAAAAAA8L8CCtejcD3KEUACS1mGONZFBUAAAAAAGAAAAPz8APwAAgAAAAAAAPC/AjVeukkMggFAAvH0SlmGuA9AAAAAABgAAAD8/AD8AAIAAAAAAADwvwIK16NwPcoRQALMf0i/fR2oPwAAAAAYAAAA/PwA/AACAAAAAAAA8L8CaZHtfD+1FEAC9UpZhjjW9T8AAAAAHAAAAPz8APwAAgAAAAAAAPC/AmmR7Xw/tRRAAqMjufyH9PO/AAAAABgAAAD8/AD8AAIAAAAAAADwvwIeOGdEaa8aQAIRx7q4jQb2PwAAAAAYAAAA/PwA/AACAAAAAAAA8L8CHjhnRGmvGkACh6dXyjLE878AAAAAIAAAAPz8APwAAgAAAAAAAPC/AnzysFBrmh1AApSHhVrTPATAAAAAABgAAAD8/AD8AAIAAAAAAADwvwJ88rBQa5odQAIOvjCZKhi1PwAAAAABFAAEAWUIAAAAAAAAAAAACAFlCAAAAAAAAAAAAAwBZQQAAAAAAAAAAAAQAWUEAAAAAAAAAAAMFAFlBAAAAAAAAAAAEBgBZQQAAAAAAAAAABAcAWUEAAAAAAAAAAAQIAFlBAAAAAAAAAAAFCQBZQgMAAAAAAAAABQoAWUEAAAAAAAAAAAkLAFlBAAAAAAAAAAAJDABZQQAAAAAAAAAACg0AWUIDAAAAAAAAAAsOAFlCAwAAAAAAAAANDwBZQQAAAAAAAAAADgBEAFlBAAAAAAAAAAAPAERAWUEAAAAAAAAAAABEQESAWUIAAAAAAAAAAABEQETAWUEAAAAAAAAAAA0OAFlBAAAAAAAAAAAAAAAAA==</t>
        </r>
      </text>
    </comment>
    <comment ref="A220" authorId="0" shapeId="0" xr:uid="{ED8551BD-4378-4006-BFFE-56626B88C331}">
      <text>
        <r>
          <rPr>
            <sz val="9"/>
            <color indexed="81"/>
            <rFont val="Segoe UI"/>
            <charset val="1"/>
          </rPr>
          <t>Insight iXlW00001C0000220R0080105531S00000438P02452LAocjBAQBF1NjaVRlZ2ljLmRhdGEuTW9sZWN1bGUBbwF/ARJTY2lUZWdpYy5Nb2xlY3VsZQAAAQFkAv5qAQAAAAIAAgEhARAAAAD8/AD8AAIAAAAAAADwvwAAAAAAACAAAAD8/AD8AAIAAAAAAADwvwK2FfvL7sn0vwLH3LWEfNDnPwAAAAAgAAAA/PwA/AACAAAAAAAA8L8Cx9y1hHzQ5z8CthX7y+7J9D8AAAAAHAAAAPz8APwAAgAAAAAAAPC/ArYV+8vuyfQ/AsfctYR80Oe/AAAAABgAAAD8/AD8AAIAAAAAAADwvwLH3LWEfNDnvwK2FfvL7sn0vwAAAAAYAAAA/PwA/AACAAAAAAAA8L8C7uvAOSPKBEAC7Q2+MJkqiD8AAAAAGAAAAPz8APwAAgAAAAAAAPC/AmpN845T9AHAArYV+8vuyfS/AAAAABgAAAD8/AD8AAIAAAAAAADwvwLtDb4wmSqIPwLu68A5I8oEwAAAAAAgAAAA/PwA/AACAAAAAAAA8L8C7uvAOSPKBEAC/tR46SYx+D8AAAAAHAAAAPz8APwAAgAAAAAAAPC/Asl2vp8aLw9AAo/k8h/Sb+e/AAAAABgAAAD8/AD8AAIAAAAAAADwvwKcxCCwcugHwAAAAAAAGAAAAPz8APwAAgAAAAAAAPC/ApzEILBy6AfAAu7rwDkjygTAAAAAABgAAAD8/AD8AAIAAAAAAADwvwKP5PIf0m/nvwLJdr6fGi8PwAAAAAAYAAAA/PwA/AACAAAAAAAA8L8C0gDeAgnKFEAC7Q2+MJkqmD8AAAAAIAAAAPz8APwAAgAAAAAAAPC/AmpN845T9AHAArYV+8vuyfQ/AAAAACAAAAD8/AD8AAIAAAAAAADwvwJqTfOOU/QRwAAAAAAAGAAAAPz8APwAAgAAAAAAAPC/AmpN845T9AHAAsl2vp8aLw/AAAAAABgAAAD8/AD8AAIAAAAAAADwvwLtDb4wmSqYPwLSAN4CCcoUwAAAAAAcAAAA/PwA/AACAAAAAAAA8L8C0gDeAgnKFEACGlHaG3xh+D8AAAAAHAAAAPz8APwAAgAAAAAAAPC/Alyxv+ye/BlAAo/k8h/Sb+e/AAAAABgAAAD8/AD8AAIAAAAAAADwvwIDCYofY+4UwAK2FfvL7sn0PwAAAAAcAAAA/PwA/AACAAAAAAAA8L8CGlHaG3xh+D8C0gDeAgnKFMAAAAAAGAAAAPz8APwAAgAAAAAAAPC/Alyxv+ye/BlAAobJVMGoJAJAAAAAABgAAAD8/AD8AAIAAAAAAADwvwLJdr6fGi8fQALtDb4wmSqYPwAAAAABEAAAAPz8APwAAgAAAAAAAPC/ApSHhVrTPAJAAlyxv+ye/BnAAAAAACAAAAD8/AD8AAIAAAAAAADwvwJcsb/snvwZQAL3deCcESUOQAAAAAAYAAAA/PwA/AACAAAAAAAA8L8CyXa+nxovH0ACGlHaG3xh+D8AAAAAIAAAAPz8APwAAgAAAAAAAPC/AqkT0ETYMCJAAnWTGARWDue/AAAAACAAAAD8/AD8AAIAAAAAAADwvwKo6Egu/6EMQALD9ShcjwIXwAAAAAAgAAAA/PwA/AACAAAAAAAA8L8C5fIf0m9f7z8C+8vuycMCHcAAAAAAGAAAAPz8APwAAgAAAAAAAPC/AtS84xQdSQhAAsl2vp8aLx/AAAAAABgAAAD8/AD8AAIAAAAAAADwvwLSAN4CCcoUQAJ4CyQofgwSQAAAAAAYAAAA/PwA/AACAAAAAAAA8L8CqRPQRNgwIkACTtGRXP7DAcAAAAAAASIABAFlCAAAAAAAAAAAAAgBZQgAAAAAAAAAAAAMAWUEAAAAAAAAAAAAEAFlBAAAAAAAAAAADBQBZQQAAAAAAAAAABAYAWUICAAAAAAAAAAQHAFlBAAAAAAAAAAAFCABZQgAAAAAAAAAABQkAWUEAAAAAAAAAAAYKAFlBAAAAAAAAAAAGCwBZQQAAAAAAAAAABwwAWUIDAAAAAAAAAAkNAFlBAAAAAAAAAAAKDgBZQgAAAAAAAAAACg8AWUEAAAAAAAAAAAsARABZQgIAAAAAAAAADABEQFlBAAAAAAAAAAANAESAWUIDAAAAAAAAAA0ARMBZQQAAAAAAAAAADwBFAFlBAAAAAAAAAAAAREBFQFlBAAAAAAAAAAAARIBFgFlBAAAAAAAAAAAARMBFwFlCAwAAAAAAAAAARUBGAFlBAAAAAAAAAAAARYBGQFlBAAAAAAAAAAAARYBGgFlCAgAAAAAAAAAARcBGwFlBAAAAAAAAAAAARgBHAFlCAAAAAAAAAAAARgBHQFlCAAAAAAAAAAAARgBHgFlBAAAAAAAAAAAARkBHwFlBAAAAAAAAAAAARsBIAFlBAAAAAAAAAAAMAEQAWUEAAAAAAAAAAABFwEaAWUEAAAAAAAAAAAAAAAA</t>
        </r>
      </text>
    </comment>
    <comment ref="A221" authorId="0" shapeId="0" xr:uid="{A3556DB4-4D62-4C23-B494-69DD5FFB4788}">
      <text>
        <r>
          <rPr>
            <sz val="9"/>
            <color indexed="81"/>
            <rFont val="Segoe UI"/>
            <charset val="1"/>
          </rPr>
          <t>Insight iXlW00001C0000221R0080105531S00000440P01744LAocjBAQBF1NjaVRlZ2ljLmRhdGEuTW9sZWN1bGUBbwF/ARJTY2lUZWdpYy5Nb2xlY3VsZQAAAQFkAv5qAQAAAAIAAgEXARAAAAD8/AD8AAIAAAAAAADwvwAAAAAAACAAAAD8/AD8AAIAAAAAAADwvwKUGARWDi3ovwKeXinLEMf0vwAAAAAgAAAA/PwA/AACAAAAAAAA8L8Cnl4pyxDH9D8ClBgEVg4t6L8AAAAAGAAAAPz8APwAAgAAAAAAAPC/Ap5eKcsQx/S/ApQYBFYOLeg/AAAAABgAAAD8/AD8AAIAAAAAAADwvwKUGARWDi3oPwKeXinLEMf0PwAAAAAYAAAA/PwA/AACAAAAAAAA8L8Cnl4pyxDH9L8CmSoYldQJAkAAAAAAGAAAAPz8APwAAgAAAAAAAPC/Ap5eKcsQxwTAAu0NvjCZKog/AAAAABgAAAD8/AD8AAIAAAAAAADwvwKeXinLEMcEwAK+MJkqGBUIQAAAAAAYAAAA/PwA/AACAAAAAAAA8L8CtTf4wmQqD8ACyxDHuriN6D8AAAAAHAAEAPz8APwAAgAAAAAAAPC/Ap5eKcsQxwTAApkqGJXUCRJAAAAAABgAAAD8/AD8AAIAAAAAAADwvwK1N/jCZCoPwAKn6Egu/yECQAAAAAAgAAAA/PwA/AACAAAAAAAA8L8Cnl4pyxDH9L8CwTkjSnsDFUAAAAAAIAD8APz8APwAAgAAAAAAAPC/ArU3+MJkKg/AAsiYu5aQDxVAAAAAABgAAAD8/AD8AAIAAAAAAADwvwKCc0aU9sYUwAIFxY8xdy0IQAAAAAAgAAAA/PwA/AACAAAAAAAA8L8CgnNGlPbGFMACoImw4ekVEkAAAAAAGAAAAPz8APwAAgAAAAAAAPC/AirLEMe6+BnAArWmeccpOgJAAAAAABgAAAD8/AD8AAIAAAAAAADwvwLRItv5fiofwAITg8DKoUUIQAAAAAAYAAAA/PwA/AACAAAAAAAA8L8CKssQx7r4GcACAwmKH2Pu6D8AAAAAIAAAAPz8APwAAgAAAAAAAPC/AtEi2/l+Kh/AAqfoSC7/IRJAAAAAABgAAAD8/AD8AAIAAAAAAADwvwI8vVKWIS4iwALDZKpgVFICQAAAAAAgAAAA/PwA/AACAAAAAAAA8L8CgnNGlPbGFMAC7Q2+MJkqmD8AAAAAGAAAAPz8APwAAgAAAAAAAPC/AtEi2/l+Kh/AAnKKjuTyH6I/AAAAABgAAAD8/AD8AAIAAAAAAADwvwI8vVKWIS4iwAIdWmQ730/pPwAAAAABGAAEAWUIAAAAAAAAAAAACAFlCAAAAAAAAAAAAAwBZQQAAAAAAAAAAAAQAWUEAAAAAAAAAAAMFAFlCAwAAAAAAAAADBgBZQQAAAAAAAAAABQcAWUEAAAAAAAAAAAYIAFlCAgAAAAAAAAAHCQBZQQAAAAAAAAAABwoAWUIDAAAAAAAAAAkLAFlCAAAAAAAAAAAJDABZQQAAAAAAAAAACg0AWUEAAAAAAAAAAA0OAFlCAAAAAAAAAAANDwBZQQAAAAAAAAAADwBEAFlCAgAAAAAAAAAPAERAWUEAAAAAAAAAAABEAESAWUEAAAAAAAAAAABEAETAWUEAAAAAAAAAAABEQEUAWUIAAAAAAAAAAABEQEVAWUEAAAAAAAAAAABEwEWAWUEAAAAAAAAAAAgKAFlBAAAAAAAAAAAARUBFgFlBAAAAAAAAAAAAAAAAA==</t>
        </r>
      </text>
    </comment>
    <comment ref="A222" authorId="0" shapeId="0" xr:uid="{5A832D2C-6CFC-42E4-AB83-798F21D0524C}">
      <text>
        <r>
          <rPr>
            <sz val="9"/>
            <color indexed="81"/>
            <rFont val="Segoe UI"/>
            <charset val="1"/>
          </rPr>
          <t>Insight iXlW00001C0000222R0080105531S00000442P02356LAocjBAQBF1NjaVRlZ2ljLmRhdGEuTW9sZWN1bGUBbwF/ARJTY2lUZWdpYy5Nb2xlY3VsZQAAAQFkAv5qAQAAAAIAAgEfAREAAAD8/AD8AAIAAAAAAADwvwAAAAAAABgAAAD8/AD8AAIAAAAAAADwvwLChqdXyjLoPwLrc7UV+8v0PwAAAAAYAAAA/PwA/AACAAAAAAAA8L8CPL1SliEOAkAC63O1FfvL9D8AAAAAGAAAAPz8APwAAgAAAAAAAPC/AALrc7UV+8sEQAAAAAAYAAAA/PwA/AACAAAAAAAA8L8C3+ALk6kCCEAC63O1FfvLBEAAAAAAGAAAAPz8APwAAgAAAAAAAPC/AsKGp1fKMug/AqhXyjLEMQ9AAAAAACAAAAD8/AD8AAIAAAAAAADwvwIEVg4tst0RQAI3GsBbIEEHQAAAAAAYAAAA/PwA/AACAAAAAAAA8L8CPL1SliEOAkACqFfKMsQxD0AAAAAAGAAAAPz8APwAAgAAAAAAAPC/Apf/kH77ehJAAr4wmSoYlRFAAAAAABwAAAD8/AD8AAIAAAAAAADwvwL0jlN0JBcKQAInwoanVwoUQAAAAAAgAAAA/PwA/AACAAAAAAAA8L8Cklz+Q/qtF0ACrK3YX3aPFEAAAAAAGAAAAPz8APwAAgAAAAAAAPC/Ao25awn54BxAAr4wmSoYlRFAAAAAABgAAAD8/AD8AAIAAAAAAADwvwJEi2zn+wkhQAKsrdhfdo8UQAAAAAAYAAAA/PwA/AACAAAAAAAA8L8CjblrCfngHEACKVyPwvUoB0AAAAAAGAAAAPz8APwAAgAAAAAAAPC/AsE5I0p7oyNAAr4wmSoYlRFAAAAAABgAAAD8/AD8AAIAAAAAAADwvwJEi2zn+wkhQAJApN++DhwBQAAAAAAYAAAA/PwA/AACAAAAAAAA8L8CwTkjSnujI0ACKVyPwvUoB0AAAAAAIAAAAPz8APwAAgAAAAAAAPC/Aj/o2az6PCZAAkCk374OHAFAAAAAABgMAAD8/AD8AAIAAAAAAADwvwI/6Nms+jwmQAKze/KwUGvkPwAAAAAYAAAA/PwA/AACAAAAAAAA8L8CLiEf9GzWKEACvJaQD3o2u78AAAAAGAAAAPz8APwAAgAAAAAAAPC/AsE5I0p7oyNAAryWkA96Nru/AAAAACAAAAD8/AD8AAIAAAAAAADwvwKrz9VW7G8rQAKze/KwUGvkPwAAAAAcAAAA/PwA/AACAAAAAAAA8L8CLiEf9GzWKEACg8DKoUW2+b8AAAAAGAAAAPz8APwAAgAAAAAAAPC/AqvP1VbsbytAAvJBz2bV5wLAAAAAABgAAAD8/AD8AAIAAAAAAADwvwI/6Nms+jwmQALyQc9m1ecCwAAAAAAYAAAA/PwA/AACAAAAAAAA8L8Cq8/VVuxvK0ACfh04Z0TpDsAAAAAAGAAAAPz8APwAAgAAAAAAAPC/Ail+jLlrCS5AAoPAyqFFtvm/AAAAACQAAAD8/AD8AAIAAAAAAADwvwIuIR/0bNYoQAKQoPgx5m4SwAAAAAAYAAAA/PwA/AACAAAAAAAA8L8CKX6MuWsJLkACkKD4MeZuEsAAAAAAGAAAAPz8APwAAgAAAAAAAPC/AlOWIY51UTBAAvJBz2bV5wLAAAAAABgAAAD8/AD8AAIAAAAAAADwvwJTliGOdVEwQAJ+HThnROkOwAAAAAABIgAEAWUEAAAAAAAAAAAECAFlCAwAAAAAAAAABAwBZQQAAAAAAAAAAAgQAWUEAAAAAAAAAAAMFAFlCAgAAAAAAAAAEBgBZQQAAAAAAAAAABAcAWUIDAAAAAAAAAAYIAFlBAAAAAAAAAAAHCQBZQQAAAAAAAAAACAoAWUEAAAAAAAAAAAoLAFlBAAAAAAAAAAALDABZQgMAAAAAAAAACw0AWUEAAAAAAAAAAAwOAFlBAAAAAAAAAAANDwBZQgIAAAAAAAAADgBEAFlCAwAAAAAAAAAARABEQFlBAAAAAAAAAAAAREBEgFlBAAAAAAAAAAAARIBEwFlBAAAAAAAAAAAARIBFAFlBBQAAAAAAAAAARMBFQFlCAAAAAAAAAAAARMBFgFlBAAAAAAAAAAAARYBFwFlBAAAAAAAAAAAARYBGAFlBAAAAAAAAAAAARcBGQFlCAgAAAAAAAAAARcBGgFlBAAAAAAAAAAAARkBGwFlBAAAAAAAAAAAARkBHAFlBAAAAAAAAAAAARoBHQFlCAgAAAAAAAAAARwBHgFlCAgAAAAAAAAAFBwBZQQAAAAAAAAAACAkAWUICAAAAAAAAAA8ARABZQQAAAAAAAAAAAEdAR4BZQQAAAAAAAAAAAAAAAA=</t>
        </r>
      </text>
    </comment>
    <comment ref="A223" authorId="0" shapeId="0" xr:uid="{CAE70688-7BB5-4A57-BF72-9DAC1AD74F2A}">
      <text>
        <r>
          <rPr>
            <sz val="9"/>
            <color indexed="81"/>
            <rFont val="Segoe UI"/>
            <charset val="1"/>
          </rPr>
          <t>Insight iXlW00001C0000223R0080105531S00000444P01136LAocjBAQBF1NjaVRlZ2ljLmRhdGEuTW9sZWN1bGUBbwF/ARJTY2lUZWdpYy5Nb2xlY3VsZQAAAQFkAv5qAQAAAAIAAjwgAAAA/PwA/AACAAAAAAAA8L8AAAAAAAAYAAAA/PwA/AACAAAAAAAA8L8AAq36XG3F/ve/AAAAABwAAAD8/AD8AAIAAAAAAADwvwJjEFg5tMj0PwIlBoGVQwsCwAAAAAAYAAAA/PwA/AACAAAAAAAA8L8CYxBYObTI9L8CF0hQ/BjzAcAAAAAAHAAAAPz8APwAAgAAAAAAAPC/Aio6kst/yARAAsl2vp8aL/i/AAAAABgAAAD8/AD8AAIAAAAAAADwvwJjEFg5tMj0PwJ8gy9MpgoOwAAAAAAcAAAA/PwA/AACAAAAAAAA8L8CYxBYObTI9L8CbsX+snvyDcAAAAAAGAAAAPz8APwAAgAAAAAAAPC/Aio6kst/yATAApF++zpwzve/AAAAABwAAAD8/AD8AAIAAAAAAADwvwACArwFEhT/EcAAAAAAGAAAAPz8APwAAgAAAAAAAPC/Aio6kst/yARAAgkbnl4pCxLAAAAAABgAAAD8/AD8AAIAAAAAAADwvwJbQj7o2SwPwALRs1n1udoBwAAAAAAYAAAA/PwA/AACAAAAAAAA8L8CKjqSy3/IBMAC7Q2+MJkqiD8AAAAAGAAAAPz8APwAAgAAAAAAAPC/Aio6kst/yBTAAnUCmggbnve/AAAAABgAAAD8/AD8AAIAAAAAAADwvwJbQj7o2SwPwAJyGw3gLZDoPwAAAAAYAAAA/PwA/AACAAAAAAAA8L8CKjqSy3/IFMAC7Q2+MJkqmD8AAAAAARAABAFlCAAAAAAAAAAABAgBZQQAAAAAAAAAAAQMAWUEAAAAAAAAAAAIEAFlBAAAAAAAAAAACBQBZQQAAAAAAAAAAAwYAWUICAAAAAAAAAAMHAFlBAAAAAAAAAAAFCABZQgIAAAAAAAAABQkAWUEAAAAAAAAAAAcKAFlCAwAAAAAAAAAHCwBZQQAAAAAAAAAACgwAWUEAAAAAAAAAAAsNAFlCAgAAAAAAAAAMDgBZQgIAAAAAAAAABggAWUEAAAAAAAAAAA0OAFlBAAAAAAAAAAAAAAAAA==</t>
        </r>
      </text>
    </comment>
    <comment ref="A224" authorId="0" shapeId="0" xr:uid="{12DEE1A1-88E5-4559-BE1B-DE9DA7D0DFB2}">
      <text>
        <r>
          <rPr>
            <sz val="9"/>
            <color indexed="81"/>
            <rFont val="Segoe UI"/>
            <charset val="1"/>
          </rPr>
          <t>Insight iXlW00001C0000224R0080105531S00000446P01448LAocjBAQBF1NjaVRlZ2ljLmRhdGEuTW9sZWN1bGUBbwF/ARJTY2lUZWdpYy5Nb2xlY3VsZQAAAQFkAv5qAQAAAAIAAgETAREAAAD8/AD8AAIAAAAAAADwvwAAAAAAABgAAAD8/AD8AAIAAAAAAADwvwLyY8xdS8j0vwJYyjLEsS7ovwAAAAAYAAAA/PwA/AACAAAAAAAA8L8C8mPMXUvIBMAC7Q2+MJkqiL8AAAAAIAAAAPz8APwAAgAAAAAAAPC/AvJjzF1LyATAAiDSb18Hzvc/AAAAABwAAAD8/AD8AAIAAAAAAADwvwLqlbIMcSwPwAKQwvUoXI/ovwAAAAAYAAAA/PwA/AACAAAAAAAA8L8C8mPMXUvIFMAC7Q2+MJkqmL8AAAAAGAAAAPz8APwAAgAAAAAAAPC/AuqVsgxxLA/AAvvt68A5IwLAAAAAABgAAAD8/AD8AAIAAAAAAADwvwLufD81XvoZwALHuriNBvDovwAAAAAYAAAA/PwA/AACAAAAAAAA8L8C8mPMXUvIFMACBFYOLbKd9z8AAAAAHAAAAPz8APwAAgAAAAAAAPC/AvJjzF1LyATAAoPix5i7FgjAAAAAABgAAAD8/AD8AAIAAAAAAADwvwLqlbIMcSwfwAJyio7k8h+ivwAAAAAYAAAA/PwA/AACAAAAAAAA8L8C7nw/NV76GcACCKwcWmQ7AsAAAAAAGAAAAPz8APwAAgAAAAAAAPC/Au58PzVe+hnAApjdk4eF2gFAAAAAABgAAAD8/AD8AAIAAAAAAADwvwLqlbIMcSwPwAKY3ZOHhdoBQAAAAAAcAAAA/PwA/AACAAAAAAAA8L8C2c73U+Ol878ClBgEVg4tA8AAAAAAGAAAAPz8APwAAgAAAAAAAPC/AgTnjCjtjQPAAsnlP6Tf/hHAAAAAABgAAAD8/AD8AAIAAAAAAADwvwLqlbIMcSwfwALp2az6XG33PwAAAAAYAAAA/PwA/AACAAAAAAAA8L8Cm3ecoiO5zL8CdZMYBFYODMAAAAAAGAAAAPz8APwAAgAAAAAAAPC/Aj/o2az6XO+/Ardif9k9ORPAAAAAAAEUAAQBZQQAAAAAAAAAAAQIAWUEAAAAAAAAAAAIDAFlCAAAAAAAAAAACBABZQQAAAAAAAAAABAUAWUEAAAAAAAAAAAQGAFlBAAAAAAAAAAAFBwBZQgMAAAAAAAAABQgAWUEAAAAAAAAAAAYJAFlBAAAAAAAAAAAHCgBZQQAAAAAAAAAABwsAWUEAAAAAAAAAAAgMAFlCAgAAAAAAAAAIDQBZQQAAAAAAAAAACQ4AWUEAAAAAAAAAAAkPAFlBAAAAAAAAAAAKAEQAWUICAAAAAAAAAA4AREBZQgIAAAAAAAAADwBEgFlCAgAAAAAAAAAMAEQAWUEAAAAAAAAAAABEQESAWUEAAAAAAAAAAAAAAAA</t>
        </r>
      </text>
    </comment>
    <comment ref="A225" authorId="0" shapeId="0" xr:uid="{09BD2EFF-679D-47D5-8B93-21C7946C46D4}">
      <text>
        <r>
          <rPr>
            <sz val="9"/>
            <color indexed="81"/>
            <rFont val="Segoe UI"/>
            <charset val="1"/>
          </rPr>
          <t>Insight iXlW00001C0000225R0080105531S00000448P02348LAocjBAQBF1NjaVRlZ2ljLmRhdGEuTW9sZWN1bGUBbwF/ARJTY2lUZWdpYy5Nb2xlY3VsZQAAAQFkAv5qAQAAAAIAAgEfAREAAAD8/AD8AAIAAAAAAADwvwAAAAAAABgAAAD8/AD8AAIAAAAAAADwvwIhsHJoke31PwJiMlUwKqnjPwAAAAAcAAAA/PwA/AACAAAAAAAA8L8ClWWIY11cBUACpHA9CtejwL8AAAAAGAAAAPz8APwAAgAAAAAAAPC/AkhQ/Bhz1/o/AhiV1AloogBAAAAAABwAAAD8/AD8AAIAAAAAAADwvwKRD3o2qz4OQALSkVz+Q/rrPwAAAAAYAAAA/PwA/AACAAAAAAAA8L8CeAskKH6M5T8CTRWMSuqECUAAAAAAGAAAAPz8APwAAgAAAAAAAPC/AjGZKhiVVAlAAj/o2az63AFAAAAAABgAAAD8/AD8AAIAAAAAAADwvwIll/+QfvsUQAKh+DHmriXiPwAAAAAgAAAA/PwA/AACAAAAAAAA8L8Cofgx5q4l8j8C0pFc/kN6EkAAAAAAHAAAAPz8APwAAgAAAAAAAPC/Ampv8IXJVOm/AgFvgQTFDwdAAAAAAAEQAAAA/PwA/AACAAAAAAAA8L8Cm+Ydp+hID0ACw/UoXI9CDEAAAAAAGAwAAPz8APwAAgAAAAAAAPC/AqRwPQrXo8A/AuxRuB6F6xZAAAAAACAAAAD8/AD8AAIAAAAAAADwvwJBguLHmLv8vwI17zhFR/IPQAAAAAAgAAAA/PwA/AACAAAAAAAA8L8CF9nO91PjBEACnoAmwoYnEUAAAAAAIAAAAPz8APwAAgAAAAAAAPC/Agr5oGezqhJAAqQBvAUSVBNAAAAAABwAAAD8/AD8AAIAAAAAAADwvwIQejarPtcUQAJZqDXNO04GQAAAAAAYAAAA/PwA/AACAAAAAAAA8L8CXI/C9Shc9b8Cxv6ye/KwFUAAAAAAGAAAAPz8APwAAgAAAAAAAPC/AhDpt68D5+I/AhfZzvdToxxAAAAAABgAAAD8/AD8AAIAAAAAAADwvwK2FfvL7gkaQALD9Shcj0IMQAAAAAAgAAAA/PwA/AACAAAAAAAA8L8CthX7y+4JGkACUyegibAhFEAAAAAAHAAAAPz8APwAAgAAAAAAAPC/AnicoiO5PB9AAlmoNc07TgZAAAAAABgAAAD8/AD8AAIAAAAAAADwvwKdEaW9wTciQALRs1n1uVoMQAAAAAAcAAAA/PwA/AACAAAAAAAA8L8CnRGlvcE3IkACdnEbDeAtFEAAAAAAHAAAAPz8APwAAgAAAAAAAPC/Av7UeOkm0SRAAlmoNc07TgZAAAAAABgAAAD8/AD8AAIAAAAAAADwvwL+1HjpJtEkQAIydy0hHzQXQAAAAAAYAAAA/PwA/AACAAAAAAAA8L8CX5hMFYxqJ0ACw/UoXI9CDEAAAAAAIAAAAPz8APwAAgAAAAAAAPC/Av7UeOkm0SRAAqMjufyHNB1AAAAAABgAAAD8/AD8AAIAAAAAAADwvwJfmEwVjGonQAJ90LNZ9TkUQAAAAAAgAAAA/PwA/AACAAAAAAAA8L8CwFsgQfEDKkACWag1zTtOBkAAAAAAGAAAAPz8APwAAgAAAAAAAPC/Ap0Rpb3BNyJAArCUZYhjHSBAAAAAABgAAAD8/AD8AAIAAAAAAADwvwLAWyBB8QMqQALtnjws1Jr0PwAAAAABIQAEAWUEAAAAAAAAAAAECAFlCAwAAAAAAAAABAwBZQQAAAAAAAAAAAgQAWUEAAAAAAAAAAAMFAFlBAAAAAAAAAAADBgBZQgMAAAAAAAAABAcAWUEAAAAAAAAAAAUIAFlBAAAAAAAAAAAFCQBZQgMAAAAAAAAABgoAWUEAAAAAAAAAAAgLAFlBAAAAAAAAAAAJDABZQQAAAAAAAAAACg0AWUIAAAAAAAAAAAoOAFlCAAAAAAAAAAAKDwBZQQAAAAAAAAAACwBEAFlBAAAAAAAAAAALAERAWUEFAAAAAAAAAA8ARIBZQQAAAAAAAAAAAESARMBZQgAAAAAAAAAAAESARQBZQQAAAAAAAAAAAEUARUBZQQAAAAAAAAAAAEVARYBZQgMAAAAAAAAAAEVARcBZQQAAAAAAAAAAAEWARgBZQQAAAAAAAAAAAEXARkBZQgMAAAAAAAAAAEYARoBZQQAAAAAAAAAAAEYARsBZQgIAAAAAAAAAAEZARwBZQQAAAAAAAAAAAEaAR0BZQQAAAAAAAAAAAEcAR4BZQQAAAAAAAAAABAYAWUEAAAAAAAAAAAwARABZQQAAAAAAAAAAAEZARsBZQQAAAAAAAAAAAAAAAA=</t>
        </r>
      </text>
    </comment>
    <comment ref="A226" authorId="0" shapeId="0" xr:uid="{C9E697BC-BC10-486D-B159-4E91D445B170}">
      <text>
        <r>
          <rPr>
            <sz val="9"/>
            <color indexed="81"/>
            <rFont val="Segoe UI"/>
            <charset val="1"/>
          </rPr>
          <t>Insight iXlW00001C0000226R0080105531S00000450P01156LAocjBAQBF1NjaVRlZ2ljLmRhdGEuTW9sZWN1bGUBbwF/ARJTY2lUZWdpYy5Nb2xlY3VsZQAAAQFkAv5qAQAAAAIAAjwBEAAAAPz8APwAAgAAAAAAAPC/AAAAAAAAGAAAAPz8APwAAgAAAAAAAPC/AmIyVTAqqcM/Ak9AE2HD0/e/AAAAABgAAAD8/AD8AAIAAAAAAADwvwKmm8QgsHL3vwIm5IOezarTPwAAAAAcAAAA/PwA/AACAAAAAAAA8L8CmbuWkA96878CMZkqGJXUAMAAAAAAHAAAAPz8APwAAgAAAAAAAPC/AoofY+5aQvc/AjtwzojS3gHAAAAAABgAAAD8/AD8AAIAAAAAAADwvwLnHafoSK4BwAJpAG+BBMXvvwAAAAAYAAAA/PwA/AACAAAAAAAA8L8C5x2n6EiuAcACSHL5D+m3+T8AAAAAGAAAAPz8APwAAgAAAAAAAPC/AmTMXUvIBwZAAjPEsS5uo/e/AAAAABgAAAD8/AD8AAIAAAAAAADwvwKKH2PuWkL3PwI4+MJkquANwAAAAAAYAAAA/PwA/AACAAAAAAAA8L8CHHxhMlWwDcACaQBvgQTF778AAAAAGAAAAPz8APwAAgAAAAAAAPC/Ahx8YTJVsA3AAkhy+Q/pt/k/AAAAACAAAAD8/AD8AAIAAAAAAADwvwJkzF1LyAcGQALtDb4wmSqYPwAAAAAcAAAA/PwA/AACAAAAAAAA8L8CggTFjzE3EEAC9dvXgXPGAcAAAAAAGAAAAPz8APwAAgAAAAAAAPC/Ah+F61G43hHAAibkg57NqtM/AAAAABgAAAD8/AD8AAIAAAAAAADwvwK1N/jCZGoVQAKmm8QgsHL3vwAAAAABEAAEAWUEAAAAAAAAAAAACAFlBAAAAAAAAAAABAwBZQgIAAAAAAAAAAQQAWUEAAAAAAAAAAAIFAFlCAwAAAAAAAAACBgBZQQAAAAAAAAAABAcAWUEAAAAAAAAAAAQIAFlBAAAAAAAAAAAFCQBZQQAAAAAAAAAABgoAWUICAAAAAAAAAAcLAFlCAAAAAAAAAAAHDABZQQAAAAAAAAAACQ0AWUICAAAAAAAAAAwOAFlBAAAAAAAAAAADBQBZQQAAAAAAAAAACg0AWUEAAAAAAAAAAAAAAAA</t>
        </r>
      </text>
    </comment>
    <comment ref="A227" authorId="0" shapeId="0" xr:uid="{3B728541-CC91-4B9D-8F85-64102A2AF6A8}">
      <text>
        <r>
          <rPr>
            <sz val="9"/>
            <color indexed="81"/>
            <rFont val="Segoe UI"/>
            <charset val="1"/>
          </rPr>
          <t>Insight iXlW00001C0000227R0080105531S00000452P01748LAocjBAQBF1NjaVRlZ2ljLmRhdGEuTW9sZWN1bGUBbwF/ARJTY2lUZWdpYy5Nb2xlY3VsZQAAAQFkAv5qAQAAAAIAAgEXARAAAAD8/AD8AAIAAAAAAADwvwAAAAAAABgAAAD8/AD8AAIAAAAAAADwvwKBJsKGp1fsPwIv/yH99nXzPwAAAAAYAAAA/PwA/AACAAAAAAAA8L8CBhIUP8bc9r8CRrbz/dR43T8AAAAAGAAAAPz8APwAAgAAAAAAAPC/AvcGX5hMFQNAAi//If32dfM/AAAAABgAAAD8/AD8AAIAAAAAAADwvwACL/8h/fZ1A0AAAAAAGAAAAPz8APwAAgAAAAAAAPC/AgYSFD/G3Pa/ArCUZYhjXf8/AAAAABwAAAD8/AD8AAIAAAAAAADwvwLKw0Ktad4LQAJBE2HD0yu1PwAAAAAYAAAA/PwA/AACAAAAAAAA8L8Cf/s6cM4ICUACyQc9m1UfBEAAAAAAGAAAAPz8APwAAgAAAAAAAPC/AqoT0ETY8Ng/Ak2EDU+vFA9AAAAAACAAAAD8/AD8AAIAAAAAAADwvwL+ZffkYSETQAKI9NvXgXPqPwAAAAAYCAAA/PwA/AACAAAAAAAA8L8COiNKe4MvEkACa7x0kxiEAkAAAAAAGAAAAPz8APwAAgAAAAAAAPC/AlMnoImwYRdAAsWPMXctIfk/AAAAABgAAAD8/AD8AAIAAAAAAADwvwI6I0p7gy8SQAL6D+m3r4MOQAAAAAAgAAAA/PwA/AACAAAAAAAA8L8Cayv2l92THEACa7x0kxiEAkAAAAAAGAAAAPz8APwAAgAAAAAAAPC/AjSitDf44iBAAsWPMXctIfk/AAAAABgAAAD8/AD8AAIAAAAAAADwvwJApN++DnwjQAJrvHSTGIQCQAAAAAAYAAAA/PwA/AACAAAAAAAA8L8CTKYKRiUVJkACxY8xdy0h+T8AAAAAGAAAAPz8APwAAgAAAAAAAPC/AkCk374OfCNAAvoP6bevgw5AAAAAACQAAAD8/AD8AAIAAAAAAADwvwJMpgpGJRUmQAKDUUmdgCayPwAAAAAYAAAA/PwA/AACAAAAAAAA8L8CWag1zTuuKEACa7x0kxiEAkAAAAAAJAAAAPz8APwAAgAAAAAAAPC/AjSitDf44iBAAkGC4seYOxJAAAAAABgAAAD8/AD8AAIAAAAAAADwvwJMpgpGJRUmQAJBguLHmDsSQAAAAAAYAAAA/PwA/AACAAAAAAAA8L8CWag1zTuuKEAC+g/pt6+DDkAAAAAAARkABAFlBAAAAAAAAAAAAAgBZQQAAAAAAAAAAAQMAWUEAAAAAAAAAAAEEAFlCAwAAAAAAAAACBQBZQgIAAAAAAAAAAwYAWUIDAAAAAAAAAAMHAFlBAAAAAAAAAAAECABZQQAAAAAAAAAABgkAWUEAAAAAAAAAAAcKAFlBAAAAAAAAAAAKCwBZQQAAAAAAAAAACgwAWUEEAAAAAAAAAAsNAFlBAAAAAAAAAAANDgBZQQAAAAAAAAAADg8AWUEAAAAAAAAAAA8ARABZQgIAAAAAAAAADwBEQFlBAAAAAAAAAAAARABEgFlBAAAAAAAAAAAARABEwFlBAAAAAAAAAAAAREBFAFlBAAAAAAAAAAAAREBFQFlCAgAAAAAAAAAARMBFgFlCAgAAAAAAAAAEBQBZQQAAAAAAAAAACQoAWUEAAAAAAAAAAABFQEWAWUEAAAAAAAAAAAAAAAA</t>
        </r>
      </text>
    </comment>
    <comment ref="A228" authorId="0" shapeId="0" xr:uid="{DBB54F40-7382-485D-948C-CBC6591605F6}">
      <text>
        <r>
          <rPr>
            <sz val="9"/>
            <color indexed="81"/>
            <rFont val="Segoe UI"/>
            <charset val="1"/>
          </rPr>
          <t>Insight iXlW00001C0000228R0080105531S00000454P01356LAocjBAQBF1NjaVRlZ2ljLmRhdGEuTW9sZWN1bGUBbwF/ARJTY2lUZWdpYy5Nb2xlY3VsZQAAAQFkAv5qAQAAAAIAAgESARAAAAD8/AD8AAIAAAAAAADwvwAAAAAAABgAAAD8/AD8AAIAAAAAAADwvwI9m1Wfq62YvwIwuycPC7X3vwAAAAAYAAAA/PwA/AACAAAAAAAA8L8Cpd++Dpwz9b8CeekmMQis6D8AAAAAHAAAAPz8APwAAgAAAAAAAPC/Al7cRgN4C/Q/AsDsnjws1AHAAAAAABwAAAD8/AD8AAIAAAAAAADwvwIRNjy9Upb1vwLA7J48LNQBwAAAAAAYAAAA/PwA/AACAAAAAAAA8L8C8YXJVMGo8z8CWMoyxLGuDcAAAAAAGAAAAPz8APwAAgAAAAAAAPC/An6MuWsJ+fW/AljKMsSxrg3AAAAAABwAAAD8/AD8AAIAAAAAAADwvwI9m1Wfq624vwKAt0CC4scRwAAAAAAcAAAA/PwA/AACAAAAAAAA8L8ClrIMcawLBEACgLdAguLHEcAAAAAAHAAAAPz8APwAAgAAAAAAAPC/AhE2PL1SlgXAAoC3QILixxHAAAAAABgAAAD8/AD8AAIAAAAAAADwvwL7y+7Jw0IOQAKjtDf4wmQNwAAAAAAYAAAA/PwA/AACAAAAAAAA8L8C8tJNYhAYEMACo7Q3+MJkDcAAAAAAGAAAAPz8APwAAgAAAAAAAPC/ArByaJHtPBRAAolBYOXQohHAAAAAABgAAAD8/AD8AAIAAAAAAADwvwLFILByaBEOQAKegCbChicBwAAAAAAYAAAA/PwA/AACAAAAAAAA8L8C24r9ZfdkFcACiUFg5dCiEcAAAAAAGAAAAPz8APwAAgAAAAAAAPC/AkXY8PRKmRrAAutztRX7Sw3AAAAAACAAAAD8/AD8AAIAAAAAAADwvwKTOgFNhM0fwAKJQWDl0KIRwAAAAAAYAAAA/PwA/AACAAAAAAAA8L8CcM6I0t6AIsAC63O1FftLDcAAAAAAARIABAFlBAAAAAAAAAAAAAgBZQQAAAAAAAAAAAQMAWUIDAAAAAAAAAAEEAFlBAAAAAAAAAAADBQBZQQAAAAAAAAAABAYAWUIDAAAAAAAAAAUHAFlCAgAAAAAAAAAFCABZQQAAAAAAAAAABgkAWUEAAAAAAAAAAAgKAFlBAAAAAAAAAAAJCwBZQQAAAAAAAAAACgwAWUEAAAAAAAAAAAoNAFlBAAAAAAAAAAALDgBZQQAAAAAAAAAADg8AWUEAAAAAAAAAAA8ARABZQQAAAAAAAAAAAEQAREBZQQAAAAAAAAAABgcAWUEAAAAAAAAAAAAAAAA</t>
        </r>
      </text>
    </comment>
    <comment ref="A229" authorId="0" shapeId="0" xr:uid="{84F48441-5A1E-4F51-9FE0-D4E0E80B1A6E}">
      <text>
        <r>
          <rPr>
            <sz val="9"/>
            <color indexed="81"/>
            <rFont val="Segoe UI"/>
            <charset val="1"/>
          </rPr>
          <t>Insight iXlW00001C0000229R0080105531S00000456P01520LAocjBAQBF1NjaVRlZ2ljLmRhdGEuTW9sZWN1bGUBbwF/ARJTY2lUZWdpYy5Nb2xlY3VsZQAAAQFkAv5qAQAAAAIAAgEUIAAAAPz8APwAAgAAAAAAAPC/AAAAAAAAGAAAAPz8APwAAgAAAAAAAPC/Au0NvjCZKpi/AisYldQJaPe/AAAAABwAAAD8/AD8AAIAAAAAAADwvwKnCkYldQL0PwI8vVKWIY4BwAAAAAAcAAAA/PwA/AACAAAAAAAA8L8ChetRuB6F9b8CPL1SliGOAcAAAAAAGAAAAPz8APwAAgAAAAAAAPC/Aoqw4emVMgRAAtejcD0K1/a/AAAAABgAAAD8/AD8AAIAAAAAAADwvwLChqdXyjL0PwJ8gy9MpooNwAAAAAAYAAAA/PwA/AACAAAAAAAA8L8CMZkqGJVUBcAC16NwPQrX9r8AAAAAGAAAAPz8APwAAgAAAAAAAPC/AiNseHqlrA5AAgXFjzF3LQHAAAAAABgAAAD8/AD8AAIAAAAAAADwvwJgdk8eFuoDQAJyio7k8h+yPwAAAAAYAAAA/PwA/AACAAAAAAAA8L8C2BLyQc/mD8ACE4PAyqFFAcAAAAAAGAAAAPz8APwAAgAAAAAAAPC/AoIExY8xdwvAAqvP1VbsL7u/AAAAABgAAAD8/AD8AAIAAAAAAADwvwIU0ETY8PT+vwKrz9VW7C+7vwAAAAAYAAAA/PwA/AACAAAAAAAA8L8C0NVW7C97FEACTDeJQWDl9b8AAAAAGAAAAPz8APwAAgAAAAAAAPC/At21hHzQMw5AAucdp+hILus/AAAAABgAAAD8/AD8AAIAAAAAAADwvwIj2/l+ajwVwAKEL0ymCkb2vwAAAAAYAAAA/PwA/AACAAAAAAAA8L8CescpOpILEMACKA8Ltab5DMAAAAAAGAAAAPz8APwAAgAAAAAAAPC/Aru4jQbwVhRAApOpglFJncA/AAAAABgAAAD8/AD8AAIAAAAAAADwvwL3l92Th4UawALNzMzMzMwAwAAAAAAYAAAA/PwA/AACAAAAAAAA8L8CMZkqGJVUFcACKKCJsOFpEcAAAAAAGAAAAPz8APwAAgAAAAAAAPC/AgRWDi2ynRrAAuJYF7fRgAzAAAAAAAEVAAQBZQgAAAAAAAAAAAQIAWUEAAAAAAAAAAAEDAFlBAAAAAAAAAAACBABZQQAAAAAAAAAAAgUAWUEAAAAAAAAAAAMGAFlBAAAAAAAAAAAEBwBZQgMAAAAAAAAABAgAWUEAAAAAAAAAAAYJAFlBAAAAAAAAAAAGCgBZQQAAAAAAAAAABgsAWUEAAAAAAAAAAAcMAFlBAAAAAAAAAAAIDQBZQgIAAAAAAAAACQ4AWUIDAAAAAAAAAAkPAFlBAAAAAAAAAAAMAEQAWUICAAAAAAAAAA4AREBZQQAAAAAAAAAADwBEgFlCAgAAAAAAAAAAREBEwFlCAgAAAAAAAAANAEQAWUEAAAAAAAAAAABEgETAWUEAAAAAAAAAAAAAAAA</t>
        </r>
      </text>
    </comment>
    <comment ref="A230" authorId="0" shapeId="0" xr:uid="{F7E39A93-EA92-48F0-BE1A-D9A8C4B03C1B}">
      <text>
        <r>
          <rPr>
            <sz val="9"/>
            <color indexed="81"/>
            <rFont val="Segoe UI"/>
            <charset val="1"/>
          </rPr>
          <t>Insight iXlW00001C0000230R0080105531S00000458P02200LAocjBAQBF1NjaVRlZ2ljLmRhdGEuTW9sZWN1bGUBbwF/ARJTY2lUZWdpYy5Nb2xlY3VsZQAAAQFkAv5qAQAAAAIAAgEdIAAAAPz8APwAAgAAAAAAAPC/AAAAAAAAGAAAAPz8APwAAgAAAAAAAPC/AsTTK2UZ4pg/Av2H9NvXgfi/AAAAABwAAAD8/AD8AAIAAAAAAADwvwLkg57Nqs/0PwI6I0p7gy8CwAAAAAAcAAAA/PwA/AACAAAAAAAA8L8CRiV1ApoI9L8C0pFc/kN6AsAAAAAAIAAAAPz8APwAAgAAAAAAAPC/ApXUCWgibPQ/Aum3rwPnDA7AAAAAABgAAAD8/AD8AAIAAAAAAADwvwJ1ApoIG54EQALOqs/VVuz3vwAAAAAYAAAA/PwA/AACAAAAAAAA8L8C7nw/NV46BMACLGUZ4lgX+b8AAAAAGAAAAPz8APwAAgAAAAAAAPC/ApXUCWgibARAAjerPldb8RHAAAAAABgAAAD8/AD8AAIAAAAAAADwvwJxPQrXo3AOwAJpAG+BBMUCwAAAAAAYAAAA/PwA/AACAAAAAAAA8L8CldQJaCJsBMACxNMrZRnimL8AAAAAGAAAAPz8APwAAgAAAAAAAPC/At6Th4VaUxTAAuqVsgxxrPm/AAAAABgAAAD8/AD8AAIAAAAAAADwvwIZldQJaKIOwAJyGw3gLZDmPwAAAAAYAAAA/PwA/AACAAAAAAAA8L8Csr/snjxsFMAC097gC5Opsr8AAAAAIAAAAPz8APwAAgAAAAAAAPC/An+MuWsJuRnAAnIbDeAtkOY/AAAAABgAAAD8/AD8AAIAAAAAAADwvwKUGARWDu0ewALE0ytlGeKovwAAAAAYAAAA/PwA/AACAAAAAAAA8L8Cxty1hHwQIsACchsN4C2Q5j8AAAAAGAAAAPz8APwAAgAAAAAAAPC/ApQYBFYO7R7AAt21hHzQs/i/AAAAABgAAAD8/AD8AAIAAAAAAADwvwJDrWnecaokwALE0ytlGeKovwAAAAAYAAAA/PwA/AACAAAAAAAA8L8Cxty1hHwQIsACGlHaG3xhAsAAAAAAIAAAAPz8APwAAgAAAAAAAPC/Ak7zjlN0RCfAAnIbDeAtkOY/AAAAABgAAAD8/AD8AAIAAAAAAADwvwJDrWnecaokwALdtYR80LP4vwAAAAAYDAAA/PwA/AACAAAAAAAA8L8CysNCrWneKcACxNMrZRniqL8AAAAAGAAAAPz8APwAAgAAAAAAAPC/Ak7zjlN0RCfAAhpR2ht8YQLAAAAAACAAAAD8/AD8AAIAAAAAAADwvwJHlPYGX3gswAJyGw3gLZDmPwAAAAAYAAAA/PwA/AACAAAAAAAA8L8CysNCrWneKcAC3bWEfNCz+L8AAAAAGAAAAPz8APwAAgAAAAAAAPC/AkeU9gZfeCzAAuqVsgxxrOm/AAAAABgAAAD8/AD8AAIAAAAAAADwvwLZ8PRKWcYowAIMk6mCUckMwAAAAAAYAAAA/PwA/AACAAAAAAAA8L8Cw/UoXI/CJcACDJOpglHJDMAAAAAAGAAAAPz8APwAAgAAAAAAAPC/AkeU9gZfeCzAAkMc6+I2mgFAAAAAAAEfAAQBZQgAAAAAAAAAAAQIAWUEAAAAAAAAAAAEDAFlBAAAAAAAAAAACBABZQQAAAAAAAAAAAgUAWUEAAAAAAAAAAAMGAFlBAAAAAAAAAAAEBwBZQQAAAAAAAAAABggAWUIDAAAAAAAAAAYJAFlBAAAAAAAAAAAICgBZQQAAAAAAAAAACQsAWUICAAAAAAAAAAoMAFlCAwAAAAAAAAAMDQBZQQAAAAAAAAAADQ4AWUEAAAAAAAAAAA4PAFlCAwAAAAAAAAAOAEQAWUEAAAAAAAAAAA8AREBZQQAAAAAAAAAAAEQARIBZQgIAAAAAAAAAAERARMBZQQAAAAAAAAAAAERARQBZQgMAAAAAAAAAAETARUBZQQAAAAAAAAAAAEUARYBZQQAAAAAAAAAAAEVARcBZQQAAAAAAAAAAAEVARgBZQQAAAAAAAAAAAEVARkBZQQUAAAAAAAAAAEWARoBZQQAAAAAAAAAAAEWARsBZQQAAAAAAAAAAAEXARwBZQQAAAAAAAAAACwwAWUEAAAAAAAAAAABEgEUAWUEAAAAAAAAAAABFgEYAWUEAAAAAAAAAAAAAAAA</t>
        </r>
      </text>
    </comment>
    <comment ref="A231" authorId="0" shapeId="0" xr:uid="{A3FCAE53-8350-4D39-81E7-A245C9C11ABD}">
      <text>
        <r>
          <rPr>
            <sz val="9"/>
            <color indexed="81"/>
            <rFont val="Segoe UI"/>
            <charset val="1"/>
          </rPr>
          <t>Insight iXlW00001C0000231R0080105531S00000460P01056LAocjBAQBF1NjaVRlZ2ljLmRhdGEuTW9sZWN1bGUBbwF/ARJTY2lUZWdpYy5Nb2xlY3VsZQAAAQFkAv5qAQAAAAIAAjgBIwAAAPz8APwAAgAAAAAAAPC/AAAAAAAAGAAAAPz8APwAAgAAAAAAAPC/Ag8LtaZ5x/Q/Aj55WKg1zee/AAAAABgAAAD8/AD8AAIAAAAAAADwvwIPC7Wmecf0PwI17zhFR/IBwAAAAAAYAAAA/PwA/AACAAAAAAAA8L8CSOF6FK7HBEAAAAAAABgAAAD8/AD8AAIAAAAAAADwvwJI4XoUrscEQAKTy39Iv/0HwAAAAAAYAAAA/PwA/AACAAAAAAAA8L8C0GbV52orD0ACPnlYqDXN578AAAAAGAAAAPz8APwAAgAAAAAAAPC/AtBm1edqKw9AAjXvOEVH8gHAAAAAABwAAAD8/AD8AAIAAAAAAADwvwJI4XoUrscUQAKTy39Iv/0HwAAAAAAYAAAA/PwA/AACAAAAAAAA8L8CDCQofoz5GUACNe84RUfyAcAAAAAAIAAAAPz8APwAAgAAAAAAAPC/AgwkKH6M+RlAAj55WKg1zee/AAAAABwAAAD8/AD8AAIAAAAAAADwvwLsUbgehSsfQAKTy39Iv/0HwAAAAAAgAAAA/PwA/AACAAAAAAAA8L8C7FG4HoUrH0ACPE7RkVz+EcAAAAAAGAAAAPz8APwAAgAAAAAAAPC/AljKMsSxLiJAAjXvOEVH8gHAAAAAABgAAAD8/AD8AAIAAAAAAADwvwJYyjLEsS4iQAJkXdxGA/gUwAAAAAA4AAQBZQQAAAAAAAAAAAQIAWUIDAAAAAAAAAAEDAFlBAAAAAAAAAAACBABZQQAAAAAAAAAAAwUAWUICAAAAAAAAAAQGAFlCAwAAAAAAAAAGBwBZQQAAAAAAAAAABwgAWUEAAAAAAAAAAAgJAFlCAAAAAAAAAAAICgBZQQAAAAAAAAAACgsAWUEAAAAAAAAAAAoMAFlBAAAAAAAAAAALDQBZQQAAAAAAAAAABQYAWUEAAAAAAAAAAAAAAAA</t>
        </r>
      </text>
    </comment>
    <comment ref="A232" authorId="0" shapeId="0" xr:uid="{08F4493C-63CD-4D43-B7D2-742B90DA0972}">
      <text>
        <r>
          <rPr>
            <sz val="9"/>
            <color indexed="81"/>
            <rFont val="Segoe UI"/>
            <charset val="1"/>
          </rPr>
          <t>Insight iXlW00001C0000232R0080105531S00000462P01396LAocjBAQBF1NjaVRlZ2ljLmRhdGEuTW9sZWN1bGUBbwF/ARJTY2lUZWdpYy5Nb2xlY3VsZQAAAQFkAv5qAQAAAAIAAgETAREAAAD8/AD8AAIAAAAAAADwvwAAAAAAABgAAAD8/AD8AAIAAAAAAADwvwLyY8xdS8j0vwJYyjLEsS7ovwAAAAAYAAAA/PwA/AACAAAAAAAA8L8CuY0G8BbIBMAAAAAAACAAAAD8/AD8AAIAAAAAAADwvwK5jQbwFsgEwAI8TtGRXP73PwAAAAAcAAAA/PwA/AACAAAAAAAA8L8Csr/snjwsD8ACWMoyxLEu6L8AAAAAGAAAAPz8APwAAgAAAAAAAPC/ArmNBvAWyBTAAAAAAAAYDAAA/PwA/AACAAAAAAAA8L8Csr/snjwsD8ACtFn1udoKAsAAAAAAGAAAAPz8APwAAgAAAAAAAPC/ArmNBvAWyBTAAjxO0ZFc/vc/AAAAABgAAAD8/AD8AAIAAAAAAADwvwK1pnnHKfoZwAJYyjLEsS7ovwAAAAAYAAAA/PwA/AACAAAAAAAA8L8CuY0G8BbIBMACPE7RkVz+B8AAAAAAGAAAAPz8APwAAgAAAAAAAPC/ArmNBvAWyBTAAjxO0ZFc/gfAAAAAABgAAAD8/AD8AAIAAAAAAADwvwK1pnnHKfoZwAKmm8QgsPIBQAAAAAAYAAAA/PwA/AACAAAAAAAA8L8Csr/snjwsD8ACppvEILDyAUAAAAAAGAAAAPz8APwAAgAAAAAAAPC/ApbUCWgiLB/AAAAAAAAYAAAA/PwA/AACAAAAAAAA8L8CtaZ5xyn6GcACtFn1udoKAsAAAAAAIAAAAPz8APwAAgAAAAAAAPC/ArmNBvAWyATAAq36XG3F/hHAAAAAABgAAAD8/AD8AAIAAAAAAADwvwKW1AloIiwfwAI8TtGRXP73PwAAAAAYAAAA/PwA/AACAAAAAAAA8L8Csr/snjwsD8ACxEKtad7xDUAAAAAAGAAAAPz8APwAAgAAAAAAAPC/AvJjzF1LyPS/AvhT46WbBBXAAAAAAAETAAQBZQQAAAAAAAAAAAQIAWUEAAAAAAAAAAAIDAFlCAAAAAAAAAAACBABZQQAAAAAAAAAABAUAWUEAAAAAAAAAAAQGAFlBAAAAAAAAAAAFBwBZQgMAAAAAAAAABQgAWUEAAAAAAAAAAAYJAFlBAAAAAAAAAAAGCgBZQQUAAAAAAAAABwsAWUEAAAAAAAAAAAcMAFlBAAAAAAAAAAAIDQBZQgIAAAAAAAAACA4AWUEAAAAAAAAAAAkPAFlBAAAAAAAAAAALAEQAWUICAAAAAAAAAAwAREBZQQAAAAAAAAAADwBEgFlBAAAAAAAAAAANAEQAWUEAAAAAAAAAAAAAAAA</t>
        </r>
      </text>
    </comment>
    <comment ref="A233" authorId="0" shapeId="0" xr:uid="{BF47DB39-243F-4ED0-8B4F-5EA5E388E83E}">
      <text>
        <r>
          <rPr>
            <sz val="9"/>
            <color indexed="81"/>
            <rFont val="Segoe UI"/>
            <charset val="1"/>
          </rPr>
          <t>Insight iXlW00001C0000233R0080105531S00000464P01932LAocjBAQBF1NjaVRlZ2ljLmRhdGEuTW9sZWN1bGUBbwF/ARJTY2lUZWdpYy5Nb2xlY3VsZQAAAQFkAv5qAQAAAAIAAgEaAREAAAD8/AD8AAIAAAAAAADwvwAAAAAAABgAAAD8/AD8AAIAAAAAAADwvwACHqfoSC7/978AAAAAGAAAAPz8APwAAgAAAAAAAPC/AmMQWDm0yPQ/AlAeFmpN8wHAAAAAABgAAAD8/AD8AAIAAAAAAADwvwJjEFg5tMj0vwJQHhZqTfMBwAAAAAAcAAAA/PwA/AACAAAAAAAA8L8Cm+Ydp+jIBEACHqfoSC7/978AAAAAGAAAAPz8APwAAgAAAAAAAPC/AmMQWDm0yPQ/At9xio7k8g3AAAAAABgAAAD8/AD8AAIAAAAAAADwvwJjEFg5tMj0vwLfcYqO5PINwAAAAAAYAAAA/PwA/AACAAAAAAAA8L8Cm+Ydp+jIBMACHqfoSC7/978AAAAAARAAAAD8/AD8AAIAAAAAAADwvwKb5h2n6MgEQAAAAAAAAREAAAD8/AD8AAIAAAAAAADwvwKb5h2n6MgEQAIzMzMzM/MRwAAAAAAYAAAA/PwA/AACAAAAAAAA8L8AAjMzMzMz8xHAAAAAACAAAAD8/AD8AAIAAAAAAADwvwKb5h2n6MgEQAIep+hILv/3PwAAAAAgAAAA/PwA/AACAAAAAAAA8L8CGCZTBaOS8T8AAAAAABgAAAD8/AD8AAIAAAAAAADwvwL5MeauJWQQQAAAAAAAHAAAAPz8APwAAgAAAAAAAPC/Asl2vp8a7xNAAqCrrdhfdvM/AAAAABwAAAD8/AD8AAIAAAAAAADwvwLJdr6fGu8TQAKgq63YX3bzvwAAAAAcAAAA/PwA/AACAAAAAAAA8L8CZ2ZmZmamGUACOiNKe4Mv6D8AAAAAGAAAAPz8APwAAgAAAAAAAPC/AmdmZmZmphlAAjojSnuDL+i/AAAAABgAAAD8/AD8AAIAAAAAAADwvwJ/arx0k9geQAIep+hILv/3PwAAAAAcAAAA/PwA/AACAAAAAAAA8L8Cf2q8dJPYHkACHqfoSC7/978AAAAAIAAAAPz8APwAAgAAAAAAAPC/An9qvHST2B5AAh6n6Egu/wdAAAAAABgAAAD8/AD8AAIAAAAAAADwvwJMN4lBYAUiQAI6I0p7gy/oPwAAAAAYAAAA/PwA/AACAAAAAAAA8L8CTDeJQWAFIkACOiNKe4Mv6L8AAAAAGAAAAPz8APwAAgAAAAAAAPC/Akw3iUFgBSJAAt9xio7k8g1AAAAAACAAAAD8/AD8AAIAAAAAAADwvwJYObTIdp4kQAI6I0p7gy/4vwAAAAAYAAAA/PwA/AACAAAAAAAA8L8CWDm0yHaeJEACLGUZ4lgXCMAAAAAAARwABAFlBAAAAAAAAAAABAgBZQgIAAAAAAAAAAQMAWUEAAAAAAAAAAAIEAFlBAAAAAAAAAAACBQBZQQAAAAAAAAAAAwYAWUICAAAAAAAAAAMHAFlBAAAAAAAAAAAECABZQQAAAAAAAAAABQkAWUEAAAAAAAAAAAUKAFlCAgAAAAAAAAAICwBZQgAAAAAAAAAACAwAWUIAAAAAAAAAAAgNAFlBAAAAAAAAAAANDgBZQgMAAAAAAAAADQ8AWUEAAAAAAAAAAA4ARABZQQAAAAAAAAAADwBEQFlCAwAAAAAAAAAARABEgFlBAAAAAAAAAAAAREBEwFlBAAAAAAAAAAAARIBFAFlBAAAAAAAAAAAARIBFQFlCAgAAAAAAAAAARMBFgFlCAwAAAAAAAAAARQBFwFlBAAAAAAAAAAAARYBGAFlBAAAAAAAAAAAARgBGQFlBAAAAAAAAAAAGCgBZQQAAAAAAAAAAAEQAREBZQQAAAAAAAAAAAEVARYBZQQAAAAAAAAAAAAAAAA=</t>
        </r>
      </text>
    </comment>
    <comment ref="A234" authorId="0" shapeId="0" xr:uid="{663DF85F-30F4-4988-B243-6CF13516037E}">
      <text>
        <r>
          <rPr>
            <sz val="9"/>
            <color indexed="81"/>
            <rFont val="Segoe UI"/>
            <charset val="1"/>
          </rPr>
          <t>Insight iXlW00001C0000234R0080105531S00000466P01140LAocjBAQBF1NjaVRlZ2ljLmRhdGEuTW9sZWN1bGUBbwF/ARJTY2lUZWdpYy5Nb2xlY3VsZQAAAQFkAv5qAQAAAAIAAjwBEQAAAPz8APwAAgAAAAAAAPC/AAAAAAAAGAAAAPz8APwAAgAAAAAAAPC/AvaX3ZOHhfQ/AqO0N/jCZOg/AAAAABgAAAD8/AD8AAIAAAAAAADwvwIYldQJaCL0PwJq3nGKjmQCQAAAAAAYAAAA/PwA/AACAAAAAAAA8L8CL26jAbyFBEACgbdAguLHmD8AAAAAIAAAAPz8APwAAgAAAAAAAPC/AmHl0CLb+a6/AmwJ+aBnMwhAAAAAABgAAAD8/AD8AAIAAAAAAADwvwLA7J48LFQEQAJKDAIrh5YIQAAAAAAYAAAA/PwA/AACAAAAAAAA8L8CKjqSy3/IDkACPb1SliGO6T8AAAAAGAAAAPz8APwAAgAAAAAAAPC/ApCg+DHmrvW/AvtcbcX+MgJAAAAAABgAAAD8/AD8AAIAAAAAAADwvwK7uI0G8JYOQALZX3ZPHpYCQAAAAAAcAAAA/PwA/AACAAAAAAAA8L8CL26jAbyFFEACYeXQItv5rj8AAAAAGAAAAPz8APwAAgAAAAAAAPC/Ai3UmuYdpxlAAtfFbTSAt+o/AAAAACAAAAD8/AD8AAIAAAAAAADwvwJ1kxgEVo4ZQAK3Yn/ZPfkCQAAAAAAcAAAA/PwA/AACAAAAAAAA8L8CKjqSy3/IHkACgbdAguLHuD8AAAAAGAAAAPz8APwAAgAAAAAAAPC/AqJFtvP99CFAAnHOiNLe4Os/AAAAABgAAAD8/AD8AAIAAAAAAADwvwJz+Q/pt68eQALdJAaBlUP2vwAAAAA8AAQBZQQAAAAAAAAAAAQIAWUICAAAAAAAAAAEDAFlBAAAAAAAAAAACBABZQQAAAAAAAAAAAgUAWUEAAAAAAAAAAAMGAFlCAwAAAAAAAAAEBwBZQQAAAAAAAAAABQgAWUICAAAAAAAAAAYJAFlBAAAAAAAAAAAJCgBZQQAAAAAAAAAACgsAWUIAAAAAAAAAAAoMAFlBAAAAAAAAAAAMDQBZQQAAAAAAAAAADA4AWUEAAAAAAAAAAAYIAFlBAAAAAAAAAAAAAAAAA==</t>
        </r>
      </text>
    </comment>
    <comment ref="A235" authorId="0" shapeId="0" xr:uid="{B9C92CEF-5F66-4E42-963F-070CC2D1FAFC}">
      <text>
        <r>
          <rPr>
            <sz val="9"/>
            <color indexed="81"/>
            <rFont val="Segoe UI"/>
            <charset val="1"/>
          </rPr>
          <t>Insight iXlW00001C0000235R0080105531S00000468P01904LAocjBAQBF1NjaVRlZ2ljLmRhdGEuTW9sZWN1bGUBbwF/ARJTY2lUZWdpYy5Nb2xlY3VsZQAAAQFkAv5qAQAAAAIAAgEZIAAAAPz8APwAAgAAAAAAAPC/AAAAAAAAGAAAAPz8APwAAgAAAAAAAPC/AhpR2ht8YaI/AjY8vVKWIfi/AAAAABgAAAD8/AD8AAIAAAAAAADwvwJ5eqUsQxz0vwKmLEMc62ICwAAAAAAYAAAA/PwA/AACAAAAAAAA8L8CE/JBz2bV9T8C5IOezarPAcAAAAAAGAAAAPz8APwAAgAAAAAAAPC/Asl2vp8arwTAArmNBvAWSPm/AAAAABgAAAD8/AD8AAIAAAAAAADwvwLwp8ZLN4nzvwLByqFFtnMOwAAAAAAYAAAA/PwA/AACAAAAAAAA8L8CnMQgsHJo9j8COPjCZKrgDcAAAAAAGAAAAPz8APwAAgAAAAAAAPC/AlqGONbFbQFAAil+jLlriQzAAAAAABgAAAD8/AD8AAIAAAAAAADwvwJGtvP91PgEwAIaUdobfGGyvwAAAAAYAAAA/PwA/AACAAAAAAAA8L8CSp2AJsIGD8ACL/8h/fb1AsAAAAAAIAAAAPz8APwAAgAAAAAAAPC/AkCk374OHATAAolBYOXQYhLAAAAAABgAAAD8/AD8AAIAAAAAAADwvwKneccpOpK7PwJF2PD0ShkSwAAAAAAYAAAA/PwA/AACAAAAAAAA8L8CQmDl0CLb+T8CoyO5/If0EcAAAAAAIAAAAPz8APwAAgAAAAAAAPC/AoofY+5aQvW/AiWX/5B+++Y/AAAAABgAAAD8/AD8AAIAAAAAAADwvwLTb18HzpkPwAICTYQNT6/kPwAAAAAYAAAA/PwA/AACAAAAAAAA8L8ChxbZzvfTFMACyzLEsS5u+r8AAAAAGAAAAPz8APwAAgAAAAAAAPC/Avw6cM6I0gPAAtfFbTSAdxjAAAAAABgAAAD8/AD8AAIAAAAAAADwvwJlqmBUUif8vwLbG3xhMlUBQAAAAAAYAAAA/PwA/AACAAAAAAAA8L8CKssQx7r4FMACGlHaG3xhwr8AAAAAIAAAAPz8APwAAgAAAAAAAPC/AuAtkKD4MfK/Avvt68A5YxvAAAAAACAAAAD8/AD8AAIAAAAAAADwvwJ9YTJVMCoOwAIcDeAtkKAbwAAAAAAYAAAA/PwA/AACAAAAAAAA8L8CDJOpglFJGsAC3gIJih9j4j8AAAAAGAAAAPz8APwAAgAAAAAAAPC/Ajj4wmSq4A3AArTIdr6f2iDAAAAAABgAAAD8/AD8AAIAAAAAAADwvwISpb3BF6YfwAKOdXEbDeD0PwAAAAAYAAAA/PwA/AACAAAAAAAA8L8CGlHaG3yBIsACDwu1pnlHAEAAAAAAARsABAFlCAAAAAAAAAAABAgBZQQAAAAAAAAAAAQMAWUEAAAAAAAAAAAIEAFlBAAAAAAAAAAACBQBZQgMAAAAAAAAAAwYAWUEAAAAAAAAAAAMHAFlBAAAAAAAAAAAECABZQgIAAAAAAAAABAkAWUEAAAAAAAAAAAUKAFlBAAAAAAAAAAAFCwBZQQAAAAAAAAAABwwAWUEAAAAAAAAAAAgNAFlBAAAAAAAAAAAIDgBZQQAAAAAAAAAACQ8AWUICAAAAAAAAAAoARABZQQAAAAAAAAAADQBEQFlBAAAAAAAAAAAOAESAWUIDAAAAAAAAAABEAETAWUIAAAAAAAAAAABEAEUAWUEAAAAAAAAAAABEgEVAWUEAAAAAAAAAAABFAEWAWUEAAAAAAAAAAABFQEXAWUMAAAAAAAAAAABFwEYAWUEAAAAAAAAAAAYLAFlBAAAAAAAAAAALDABZQQAAAAAAAAAADwBEgFlBAAAAAAAAAAAAAAAAA==</t>
        </r>
      </text>
    </comment>
    <comment ref="A236" authorId="0" shapeId="0" xr:uid="{1F42BF0F-640A-48F5-8B1A-260A94287B7C}">
      <text>
        <r>
          <rPr>
            <sz val="9"/>
            <color indexed="81"/>
            <rFont val="Segoe UI"/>
            <charset val="1"/>
          </rPr>
          <t>Insight iXlW00001C0000236R0080105531S00000470P01048LAocjBAQBF1NjaVRlZ2ljLmRhdGEuTW9sZWN1bGUBbwF/ARJTY2lUZWdpYy5Nb2xlY3VsZQAAAQFkAv5qAQAAAAIAAjgBEAAAAPz8APwAAgAAAAAAAPC/AAAAAAAAGAAAAPz8APwAAgAAAAAAAPC/AnrHKTqSy/S/AsKGp1fKMug/AAAAABgAAAD8/AD8AAIAAAAAAADwvwACNl66SQwC+L8AAAAAHAAAAPz8APwAAgAAAAAAAPC/AkHxY8xdywTAAu0NvjCZKog/AAAAABwAAAD8/AD8AAIAAAAAAADwvwJ6xyk6ksv0vwLLEMe6uA0CQAAAAAAcAAAA/PwA/AACAAAAAAAA8L8C/tR46SYxD8ACwoanV8oy6D8AAAAAHAAAAPz8APwAAgAAAAAAAPC/AAJuNIC3QAIIQAAAAAAYAAAA/PwA/AACAAAAAAAA8L8CQfFjzF3LBMACfPKwUGsaCEAAAAAAGAAAAPz8APwAAgAAAAAAAPC/Av7UeOkmMQ/AAssQx7q4DQJAAAAAACAAAAD8/AD8AAIAAAAAAADwvwJB8WPMXcsEwALLEMe6uA0SQAAAAAAYAAAA/PwA/AACAAAAAAAA8L8CXtxGA3jLFMACbjSAt0ACCEAAAAAAGAAAAPz8APwAAgAAAAAAAPC/AjxO0ZFc/hnAAssQx7q4DQJAAAAAABgAAAD8/AD8AAIAAAAAAADwvwJe3EYDeMsUwALEsS5uowESQAAAAAAYAAAA/PwA/AACAAAAAAAA8L8CPE7RkVz+GcAC2IFzRpT2DUAAAAAAOAAEAWUEAAAAAAAAAAAACAFlBAAAAAAAAAAABAwBZQgMAAAAAAAAAAQQAWUEAAAAAAAAAAAMFAFlBAAAAAAAAAAAEBgBZQQAAAAAAAAAABAcAWUEAAAAAAAAAAAUIAFlCAwAAAAAAAAAHCQBZQgAAAAAAAAAACAoAWUEAAAAAAAAAAAoLAFlBAAAAAAAAAAAKDABZQQAAAAAAAAAACg0AWUEAAAAAAAAAAAcIAFlBAAAAAAAAAAAAAAAAA==</t>
        </r>
      </text>
    </comment>
    <comment ref="A237" authorId="0" shapeId="0" xr:uid="{EF7DC4A7-9B04-4B8A-8892-5E79DB345EE7}">
      <text>
        <r>
          <rPr>
            <sz val="9"/>
            <color indexed="81"/>
            <rFont val="Segoe UI"/>
            <charset val="1"/>
          </rPr>
          <t>Insight iXlW00001C0000237R0080105531S00000472P01908LAocjBAQBF1NjaVRlZ2ljLmRhdGEuTW9sZWN1bGUBbwF/ARJTY2lUZWdpYy5Nb2xlY3VsZQAAAQFkAv5qAQAAAAIAAgEaARAAAAD8/AD8AAIAAAAAAADwvwAAAAAAACAAAAD8/AD8AAIAAAAAAADwvwKvJeSDns30vwJPQBNhw9PnPwAAAAAgAAAA/PwA/AACAAAAAAAA8L8CT0ATYcPT5z8CryXkg57N9D8AAAAAHAAAAPz8APwAAgAAAAAAAPC/Aq8l5IOezfQ/Ak9AE2HD0+e/AAAAABgAAAD8/AD8AAIAAAAAAADwvwJPQBNhw9PnvwKvJeSDns30vwAAAAAYAAAA/PwA/AACAAAAAAAA8L8Cd08eFmrNBEAAAAAAABgAAAD8/AD8AAIAAAAAAADwvwKCBMWPMfcBwAKvJeSDns30vwAAAAAYAAAA/PwA/AACAAAAAAAA8L8C7Q2+MJkqiD8Cd08eFmrNBMAAAAAAIAAAAPz8APwAAgAAAAAAAPC/AndPHhZqzQRAAtxoAG+BBPg/AAAAABwAAAD8/AD8AAIAAAAAAADwvwJOYhBYOTQPQAJPQBNhw9PnvwAAAAAYAAAA/PwA/AACAAAAAAAA8L8CzqrP1VbsB8AAAAAAABgAAAD8/AD8AAIAAAAAAADwvwLOqs/VVuwHwAJ3Tx4Was0EwAAAAAAYAAAA/PwA/AACAAAAAAAA8L8CF0hQ/Bhz578CTmIQWDk0D8AAAAAAGAAAAPz8APwAAgAAAAAAAPC/AndPHhZqzRRAAAAAAAAgAAAA/PwA/AACAAAAAAAA8L8CggTFjzH3AcACryXkg57N9D8AAAAAIAAAAPz8APwAAgAAAAAAAPC/Ap7vp8ZL9xHAAAAAAAAYAAAA/PwA/AACAAAAAAAA8L8CggTFjzH3AcACTmIQWDk0D8AAAAAAHAAAAPz8APwAAgAAAAAAAPC/AuJYF7fRABpAAk9AE2HD0+e/AAAAABwAAAD8/AD8AAIAAAAAAADwvwJ3Tx4Was0UQALcaABvgQT4PwAAAAAYAAAA/PwA/AACAAAAAAAA8L8CqFfKMsTxFMACryXkg57N9D8AAAAAGAAAAPz8APwAAgAAAAAAAPC/AjJ3LSEfNB9AAAAAAAAYAAAA/PwA/AACAAAAAAAA8L8C4lgXt9EAGkACggTFjzH3AUAAAAAAIAAAAPz8APwAAgAAAAAAAPC/Ak9AE2HDMyJAAmmR7Xw/Nei/AAAAABwAAAD8/AD8AAIAAAAAAADwvwIydy0hHzQfQALcaABvgQT4PwAAAAAYAAAA/PwA/AACAAAAAAAA8L8C4lgXt9EAGkAC8DhFR3L5DUAAAAAAGAAAAPz8APwAAgAAAAAAAPC/Ak9AE2HDMyJAApDC9ShcDwLAAAAAAAEbAAQBZQgAAAAAAAAAAAAIAWUIAAAAAAAAAAAADAFlBAAAAAAAAAAAABABZQQAAAAAAAAAAAwUAWUEAAAAAAAAAAAQGAFlCAgAAAAAAAAAEBwBZQQAAAAAAAAAABQgAWUIAAAAAAAAAAAUJAFlBAAAAAAAAAAAGCgBZQQAAAAAAAAAABgsAWUEAAAAAAAAAAAcMAFlCAgAAAAAAAAAJDQBZQQAAAAAAAAAACg4AWUIAAAAAAAAAAAoPAFlBAAAAAAAAAAALAEQAWUICAAAAAAAAAA0AREBZQgMAAAAAAAAADQBEgFlBAAAAAAAAAAAPAETAWUEAAAAAAAAAAABEQEUAWUEAAAAAAAAAAABEgEVAWUIDAAAAAAAAAABFAEWAWUEAAAAAAAAAAABFAEXAWUICAAAAAAAAAABFQEYAWUEAAAAAAAAAAABFgEZAWUEAAAAAAAAAAAwARABZQQAAAAAAAAAAAEVARcBZQQAAAAAAAAAAAAAAAA=</t>
        </r>
      </text>
    </comment>
    <comment ref="A238" authorId="0" shapeId="0" xr:uid="{3FAEC5D4-C9D8-4E68-BB7B-4143C420E03F}">
      <text>
        <r>
          <rPr>
            <sz val="9"/>
            <color indexed="81"/>
            <rFont val="Segoe UI"/>
            <charset val="1"/>
          </rPr>
          <t>Insight iXlW00001C0000238R0080105531S00000474P00916LAocjBAQBF1NjaVRlZ2ljLmRhdGEuTW9sZWN1bGUBbwF/ARJTY2lUZWdpYy5Nb2xlY3VsZQAAAQFkAv5qAQAAAAIAAjABEAAAAPz8APwAAgAAAAAAAPC/AAAAAAAAGAAAAPz8APwAAgAAAAAAAPC/Agkbnl4py/S/Aqk1zTtO0ec/AAAAABgAAAD8/AD8AAIAAAAAAADwvwIJG55eKcv0PwKpNc07TtHnPwAAAAAgAAAA/PwA/AACAAAAAAAA8L8CCRueXinL9L8CTKYKRiX1AUAAAAAAHAAAAPz8APwAAgAAAAAAAPC/AtBE2PD0ygTAAu0NvjCZKoi/AAAAABgAAAD8/AD8AAIAAAAAAADwvwLQRNjw9MoEQAAAAAAAGAAAAPz8APwAAgAAAAAAAPC/AtfFbTSAtw7AAkhQ/Bhz1+o/AAAAABgAAAD8/AD8AAIAAAAAAADwvwIawFsgQfEDwALgLZCg+DH4vwAAAAAYAAAA/PwA/AACAAAAAAAA8L8CFmpN844TFcACoWez6nO12T8AAAAAGAAAAPz8APwAAgAAAAAAAPC/AgmsHFpkuwzAAkT67evAOQTAAAAAABgAAAD8/AD8AAIAAAAAAADwvwIAAAAAAEAXwALhnBGlvcHvvwAAAAAYAAAA/PwA/AACAAAAAAAA8L8CbqMBvAVSFMACyzLEsS5uAsAAAAAAMAAEAWUEAAAAAAAAAAAACAFlBAAAAAAAAAAABAwBZQgAAAAAAAAAAAQQAWUEAAAAAAAAAAAIFAFlBAAAAAAAAAAAEBgBZQQAAAAAAAAAABAcAWUEAAAAAAAAAAAYIAFlBAAAAAAAAAAAHCQBZQQAAAAAAAAAACAoAWUEAAAAAAAAAAAkLAFlBAAAAAAAAAAAKCwBZQQAAAAAAAAAAAAAAAA=</t>
        </r>
      </text>
    </comment>
    <comment ref="A239" authorId="0" shapeId="0" xr:uid="{376234D5-B597-434F-A220-F413865DC6D2}">
      <text>
        <r>
          <rPr>
            <sz val="9"/>
            <color indexed="81"/>
            <rFont val="Segoe UI"/>
            <charset val="1"/>
          </rPr>
          <t>Insight iXlW00001C0000239R0080105531S00000476P01212LAocjBAQBF1NjaVRlZ2ljLmRhdGEuTW9sZWN1bGUBbwF/ARJTY2lUZWdpYy5Nb2xlY3VsZQAAAQFkAv5qAQAAAAIAAgEQAREAAAD8/AD8AAIAAAAAAADwvwAAAAAAABgAAAD8/AD8AAIAAAAAAADwvwLA7J48LNT0PwJcsb/snjzovwAAAAAYAAAA/PwA/AACAAAAAAAA8L8C3GgAb4EE9T8C9wZfmEwVAsAAAAAAGAAAAPz8APwAAgAAAAAAAPC/AsDsnjws1ARAAjEqqRPQRJi/AAAAABgAAAD8/AD8AAIAAAAAAADwvwLOqs/VVuwEQAJO845TdCQIwAAAAAAYAAAA/PwA/AACAAAAAAAA8L8CIGPuWkI+D0ACk6mCUUmd6L8AAAAAGAAAAPz8APwAAgAAAAAAAPC/Ai4hH/RsVg9AAktZhjjWRQLAAAAAABwAAAD8/AD8AAIAAAAAAADwvwLHSzeJQeAUQAKUh4Va0zwIwAAAAAAYAAAA/PwA/AACAAAAAAAA8L8CE/JBz2YVGkACS1mGONZFAsAAAAAAIAAAAPz8APwAAgAAAAAAAPC/AhpR2ht8IRpAAv9D+u3rwOm/AAAAABgAAAD8/AD8AAIAAAAAAADwvwJDrWnecUofQAKUh4Va0zwIwAAAAAAYAAAA/PwA/AACAAAAAAAA8L8COrTIdr4/IkACS1mGONZFAsAAAAAAGAAAAPz8APwAAgAAAAAAAPC/AiZ1ApoIWxxAAvp+arx0UxHAAAAAABgAAAD8/AD8AAIAAAAAAADwvwK30QDeAikhQAL6fmq8dFMRwAAAAAAYAAAA/PwA/AACAAAAAAAA8L8C0pFc/kPaJEAClIeFWtM8CMAAAAAAGAAAAPz8APwAAgAAAAAAAPC/Ampv8IXJdCdAAktZhjjWRQLAAAAAAAEQAAQBZQQAAAAAAAAAAAQIAWUIDAAAAAAAAAAEDAFlBAAAAAAAAAAACBABZQQAAAAAAAAAAAwUAWUICAAAAAAAAAAQGAFlCAwAAAAAAAAAGBwBZQQAAAAAAAAAABwgAWUEAAAAAAAAAAAgJAFlCAAAAAAAAAAAICgBZQQAAAAAAAAAACgsAWUEAAAAAAAAAAAoMAFlBAAAAAAAAAAAKDQBZQQAAAAAAAAAACw4AWUEAAAAAAAAAAA4PAFlBAAAAAAAAAAAFBgBZQQAAAAAAAAAAAAAAAA=</t>
        </r>
      </text>
    </comment>
    <comment ref="A240" authorId="0" shapeId="0" xr:uid="{BBD77E05-1F3B-41C3-96DE-6A8297D59119}">
      <text>
        <r>
          <rPr>
            <sz val="9"/>
            <color indexed="81"/>
            <rFont val="Segoe UI"/>
            <charset val="1"/>
          </rPr>
          <t>Insight iXlW00001C0000240R0080105531S00000478P01068LAocjBAQBF1NjaVRlZ2ljLmRhdGEuTW9sZWN1bGUBbwF/ARJTY2lUZWdpYy5Nb2xlY3VsZQAAAQFkAv5qAQAAAAIAAjgBEQAAAPz8APwAAgAAAAAAAPC/AAAAAAAAGAAAAPz8APwAAgAAAAAAAPC/AgRWDi2ynfQ/Au58PzVeuue/AAAAABgAAAD8/AD8AAIAAAAAAADwvwJE+u3rwDn0PwJq3nGKjuQBwAAAAAAYAAAA/PwA/AACAAAAAAAA8L8CzH9Iv32dBEAC5KWbxCCwoj8AAAAAGAAAAPz8APwAAgAAAAAAAPC/AiQofoy5awRAAl3+Q/rt6wfAAAAAABgAAAD8/AD8AAIAAAAAAADwvwLOqs/VVuwOQAKQwvUoXI/mvwAAAAAYAAAA/PwA/AACAAAAAAAA8L8C7nw/NV66DkACwoanV8qyAcAAAAAAHAAAAPz8APwAAgAAAAAAAPC/AvhT46WbhBRAArWmeccpugfAAAAAABgAAAD8/AD8AAIAAAAAAADwvwJ56SYxCKwZQALiWBe30YABwAAAAAAgAAAA/PwA/AACAAAAAAAA8L8CidLe4AuTGUACk6mCUUmd5L8AAAAAHAAAAPz8APwAAgAAAAAAAPC/At6Th4Va0x5AAg5Pr5RliAfAAAAAACAAAAD8/AD8AAIAAAAAAADwvwIKaCJseLoeQAIep+hILr8RwAAAAAAYAAAA/PwA/AACAAAAAAAA8L8CsJRliGP9IUACOwFNhA1PAcAAAAAAGAAAAPz8APwAAgAAAAAAAPC/Asb+snvy8CFAAqCrrdhfthTAAAAAADgABAFlBAAAAAAAAAAABAgBZQgMAAAAAAAAAAQMAWUEAAAAAAAAAAAIEAFlBAAAAAAAAAAADBQBZQgIAAAAAAAAABAYAWUIDAAAAAAAAAAYHAFlBAAAAAAAAAAAHCABZQQAAAAAAAAAACAkAWUIAAAAAAAAAAAgKAFlBAAAAAAAAAAAKCwBZQQAAAAAAAAAACgwAWUEAAAAAAAAAAAsNAFlBAAAAAAAAAAAFBgBZQQAAAAAAAAAAAAAAAA=</t>
        </r>
      </text>
    </comment>
    <comment ref="A241" authorId="0" shapeId="0" xr:uid="{25D9B44A-6F40-4EAD-BBFF-6C40D20E4E89}">
      <text>
        <r>
          <rPr>
            <sz val="9"/>
            <color indexed="81"/>
            <rFont val="Segoe UI"/>
            <charset val="1"/>
          </rPr>
          <t>Insight iXlW00001C0000241R0080105531S00000480P00996LAocjBAQBF1NjaVRlZ2ljLmRhdGEuTW9sZWN1bGUBbwF/ARJTY2lUZWdpYy5Nb2xlY3VsZQAAAQFkAv5qAQAAAAIAAjQBEQAAAPz8APwAAgAAAAAAAPC/AAAAAAAAGAAAAPz8APwAAgAAAAAAAPC/AvJjzF1LyPQ/AljKMsSxLui/AAAAABgAAAD8/AD8AAIAAAAAAADwvwLyY8xdS8j0PwLtL7snDwsCwAAAAAAYAAAA/PwA/AACAAAAAAAA8L8C8mPMXUvIBEAC7Q2+MJkqiL8AAAAAGAAAAPz8APwAAgAAAAAAAPC/AvJjzF1LyARAAoPix5i7FgjAAAAAABgAAAD8/AD8AAIAAAAAAADwvwIjbHh6pSwPQAKQwvUoXI/ovwAAAAAYAAAA/PwA/AACAAAAAAAA8L8CI2x4eqUsD0AC++3rwDkjAsAAAAAAHAAAAPz8APwAAgAAAAAAAPC/Ag5Pr5RlyBRAApGg+DHmLgjAAAAAABgAAAD8/AD8AAIAAAAAAADwvwIKaCJsePoZQAIIrBxaZDsCwAAAAAAgAAAA/PwA/AACAAAAAAAA8L8CCmgibHj6GUACqhPQRNjw6L8AAAAAHAAAAPz8APwAAgAAAAAAAPC/AgeBlUOLLB9AAp5eKcsQRwjAAAAAABgAAAD8/AD8AAIAAAAAAADwvwIBTYQNTy8iQAIWak3zjlMCwAAAAAAYAAAA/PwA/AACAAAAAAAA8L8CB4GVQ4ssH0AC++3rwDkjEsAAAAAANAAEAWUEAAAAAAAAAAAECAFlCAwAAAAAAAAABAwBZQQAAAAAAAAAAAgQAWUEAAAAAAAAAAAMFAFlCAgAAAAAAAAAEBgBZQgMAAAAAAAAABgcAWUEAAAAAAAAAAAcIAFlBAAAAAAAAAAAICQBZQgAAAAAAAAAACAoAWUEAAAAAAAAAAAoLAFlBAAAAAAAAAAAKDABZQQAAAAAAAAAABQYAWUEAAAAAAAAAAAAAAAA</t>
        </r>
      </text>
    </comment>
    <comment ref="A242" authorId="0" shapeId="0" xr:uid="{11F8180F-0486-459A-8ED0-4CC6D13E555C}">
      <text>
        <r>
          <rPr>
            <sz val="9"/>
            <color indexed="81"/>
            <rFont val="Segoe UI"/>
            <charset val="1"/>
          </rPr>
          <t>Insight iXlW00001C0000242R0080105531S00000482P02576LAocjBAQBF1NjaVRlZ2ljLmRhdGEuTW9sZWN1bGUBbwF/ARJTY2lUZWdpYy5Nb2xlY3VsZQAAAQFkAv5qAQAAAAIAAgEiIAAAAPz8APwAAgAAAAAAAPC/AAAAAAAAGAAAAPz8APwAAgAAAAAAAPC/AAK0WfW52or4PwAAAAAcAAAA/PwA/AACAAAAAAAA8L8CqvHSTWIQ9b8CWmQ730+NAkAAAAAAGAAAAPz8APwAAgAAAAAAAPC/AqwcWmQ73/Q/AlpkO99PjQJAAAAAABgAAAD8/AD8AAIAAAAAAADwvwJ0RpT2Bt8EwAJuNIC3QIL5PwAAAAAYAAAA/PwA/AACAAAAAAAA8L8CqvHSTWIQ9b8Cbef7qfHSDkAAAAAAHAAEAPz8APwAAgAAAAAAAPC/ArwFEhQ/xgRAAt21hHzQs/k/AAAAABgAAAD8/AD8AAIAAAAAAADwvwKBlUOLbGcPwAK30QDeAgkDQAAAAAAYAAAA/PwA/AACAAAAAAAA8L8CvAUSFD/GBMACP1dbsb/svj8AAAAAGAAAAPz8APwAAgAAAAAAAPC/AuPHmLuWEAXAAndPHhZqjRJAAAAAABgAAAD8/AD8AAIAAAAAAADwvwKBt0CC4seIvwJ3Tx4Wao0SQAAAAAAYAAAA/PwA/AACAAAAAAAA8L8CdEaU9gbfBEACGLfRAN4CwT8AAAAAGAAAAPz8APwAAgAAAAAAAPC/AhIUP8bcNQ9AAm8Sg8DKIQNAAAAAACAAAAD8/AD8AAIAAAAAAADwvwKBlUOLbGcPwALKVMGopE4PQAAAAAAYAAAA/PwA/AACAAAAAAAA8L8CEhQ/xtw1D0ACyxDHuriN4r8AAAAAGAAAAPz8APwAAgAAAAAAAPC/Atnw9EpZxhRAAgYSFD/G3Po/AAAAABgAAAD8/AD8AAIAAAAAAADwvwI0ETY8vdIUQALXNO84RUfKPwAAAAAYAAAA/PwA/AACAAAAAAAA8L8C54wo7Q3+GUACeVioNc074L8AAAAAGAAAAPz8APwAAgAAAAAAAPC/AhIUP8bcNR9AAg8LtaZ5x9E/AAAAABgAAAD8/AD8AAIAAAAAAADwvwJDrWnecQoaQAI3qz5XW7H/vwAAAAAYAAAA/PwA/AACAAAAAAAA8L8CcT0K16MwIkACT0ATYcPT278AAAAAGAAAAPz8APwAAgAAAAAAAPC/AhIUP8bcNR9AAkA1XrpJjAXAAAAAABwABAD8/AD8AAIAAAAAAADwvwKfzarP1TYiQAJ/+zpwzoj+vwAAAAAYAAAA/PwA/AACAAAAAAAA8L8CeAskKH7MJEACK4cW2c73BMAAAAAAGAAAAPz8APwAAgAAAAAAAPC/Ag5Pr5RlaCdAAlafq63YX/2/AAAAACAAAAD8/AD8AAIAAAAAAADwvwIOT6+UZWgnQAKHFtnO91PTvwAAAAAcAAAA/PwA/AACAAAAAAAA8L8CdQKaCBv+KUACF9nO91NjBMAAAAAAGAAAAPz8APwAAgAAAAAAAPC/An3Qs1n1mSxAAi1DHOviNvy/AAAAABgAAAD8/AD8AAIAAAAAAADwvwKjkjoBTQQqQAJm9+RhoRYQwAAAAAAYAAAA/PwA/AACAAAAAAAA8L8C5YOezaovL0ACOwFNhA3PA8AAAAAAGAAAAPz8APwAAgAAAAAAAPC/At21hHzQkyxAAsdLN4lBYM2/AAAAABgAAAD8/AD8AAIAAAAAAADwvwJ90LNZ9ZksQAIcfGEyVfASwAAAAAAYAAAA/PwA/AACAAAAAAAA8L8CDk+vlGVoJ0ACeJyiI7n8EsAAAAAAIAAAAPz8APwAAgAAAAAAAPC/AhIUP8bcNS9AArhAguLHmA/AAAAAAAElAAQBZQgAAAAAAAAAAAQIAWUEAAAAAAAAAAAEDAFlBAAAAAAAAAAACBABZQQAAAAAAAAAAAgUAWUEAAAAAAAAAAAMGAFlBAAAAAAAAAAAEBwBZQQAAAAAAAAAABAgAWUEAAAAAAAAAAAUJAFlBAAAAAAAAAAAFCgBZQQAAAAAAAAAABgsAWUIDAAAAAAAAAAYMAFlBAAAAAAAAAAAHDQBZQQAAAAAAAAAACw4AWUEAAAAAAAAAAAwPAFlCAgAAAAAAAAAOAEQAWUIDAAAAAAAAAABEAERAWUEAAAAAAAAAAABEQESAWUIDAAAAAAAAAABEQETAWUEAAAAAAAAAAABEgEUAWUEAAAAAAAAAAABEwEVAWUICAAAAAAAAAABFAEWAWUIDAAAAAAAAAABFgEXAWUEAAAAAAAAAAABFwEYAWUEAAAAAAAAAAABGAEZAWUIAAAAAAAAAAABGAEaAWUEAAAAAAAAAAABGgEbAWUEAAAAAAAAAAABGgEcAWUEAAAAAAAAAAABGwEdAWUEAAAAAAAAAAABGwEeAWUEAAAAAAAAAAABHAEfAWUEAAAAAAAAAAABHAEgAWUEAAAAAAAAAAABHQEhAWUEAAAAAAAAAAAkNAFlBAAAAAAAAAAAPAEQAWUEAAAAAAAAAAABFQEWAWUEAAAAAAAAAAABHwEhAWUEAAAAAAAAAAAAAAAA</t>
        </r>
      </text>
    </comment>
    <comment ref="A243" authorId="0" shapeId="0" xr:uid="{764F326A-4989-4B69-BC8A-C03AA0D74352}">
      <text>
        <r>
          <rPr>
            <sz val="9"/>
            <color indexed="81"/>
            <rFont val="Segoe UI"/>
            <charset val="1"/>
          </rPr>
          <t>Insight iXlW00001C0000243R0080105531S00000484P01664LAocjBAQBF1NjaVRlZ2ljLmRhdGEuTW9sZWN1bGUBbwF/ARJTY2lUZWdpYy5Nb2xlY3VsZQAAAQFkAv5qAQAAAAIAAgEWIAAAAPz8APwAAgAAAAAAAPC/AAAAAAAAGAAAAPz8APwAAgAAAAAAAPC/ArYV+8vuyfS/Av7UeOkmMei/AAAAABwAAAD8/AD8AAIAAAAAAADwvwK2FfvL7sn0vwJ4CyQofgwCwAAAAAAYCAAA/PwA/AACAAAAAAAA8L8C7uvAOSPKBMAC7Q2+MJkqiL8AAAAAGAAAAPz8APwAAgAAAAAAAPC/AAKqglFJnQAIwAAAAAAgAAAA/PwA/AACAAAAAAAA8L8CyXa+nxovD8ACNs07TtGR6L8AAAAAGAAAAPz8APwAAgAAAAAAAPC/Au7rwDkjygTAAlYwKqkT0Pc/AAAAABgAAAD8/AD8AAIAAAAAAADwvwK2FfvL7sn0PwJqTfOOU/QBwAAAAAAYAAAA/PwA/AACAAAAAAAA8L8AAnGsi9toABLAAAAAABgAAAD8/AD8AAIAAAAAAADwvwLSAN4CCcoUwALtDb4wmSqYvwAAAAAYAAAA/PwA/AACAAAAAAAA8L8C7uvAOSPKBEACnMQgsHLoB8AAAAAAGAAAAPz8APwAAgAAAAAAAPC/ArYV+8vuyfQ/AgpoImx4+hTAAAAAABgAAAD8/AD8AAIAAAAAAADwvwLSAN4CCcoUwAI6tMh2vp/3PwAAAAAYAAAA/PwA/AACAAAAAAAA8L8CXLG/7J78GcACbsX+snvy6L8AAAAAGAAAAPz8APwAAgAAAAAAAPC/Au7rwDkjygRAAmpN845T9BHAAAAAABgAAAD8/AD8AAIAAAAAAADwvwJcsb/snvwZwAJO0ZFc/sMBQAAAAAAYAAAA/PwA/AACAAAAAAAA8L8CyXa+nxovH8ACcoqO5PIfor8AAAAAGAAAAPz8APwAAgAAAAAAAPC/Asl2vp8aLx/AAh44Z0Rpb/c/AAAAABgAAAD8/AD8AAIAAAAAAADwvwJcsb/snvwZwAKHp1fKMsQNQAAAAAAYAAAA/PwA/AACAAAAAAAA8L8CG55eKcswIsACQRNhw9OrAUAAAAAAGAAAAPz8APwAAgAAAAAAAPC/Asl2vp8aLx/AAlyPwvUo3BFAAAAAABgAAAD8/AD8AAIAAAAAAADwvwIbnl4pyzAiwAJ56SYxCKwNQAAAAAABGAAEAWUIAAAAAAAAAAAECAFlBAAAAAAAAAAABAwBZQQAAAAAAAAAAAgQAWUEAAAAAAAAAAAMFAFlBAAAAAAAAAAADBgBZQQQAAAAAAAAABAcAWUIDAAAAAAAAAAQIAFlBAAAAAAAAAAAFCQBZQQAAAAAAAAAABwoAWUEAAAAAAAAAAAgLAFlCAgAAAAAAAAAJDABZQgMAAAAAAAAACQ0AWUEAAAAAAAAAAAoOAFlCAgAAAAAAAAAMDwBZQQAAAAAAAAAADQBEAFlCAgAAAAAAAAAPAERAWUIDAAAAAAAAAA8ARIBZQQAAAAAAAAAAAERARMBZQQAAAAAAAAAAAESARQBZQgIAAAAAAAAAAETARUBZQgIAAAAAAAAACw4AWUEAAAAAAAAAAABEAERAWUEAAAAAAAAAAABFAEVAWUEAAAAAAAAAAAAAAAA</t>
        </r>
      </text>
    </comment>
    <comment ref="A244" authorId="0" shapeId="0" xr:uid="{4244BD3E-BDEF-47ED-9DEC-3FA339E290BD}">
      <text>
        <r>
          <rPr>
            <sz val="9"/>
            <color indexed="81"/>
            <rFont val="Segoe UI"/>
            <charset val="1"/>
          </rPr>
          <t>Insight iXlW00001C0000244R0080105531S00000486P01500LAocjBAQBF1NjaVRlZ2ljLmRhdGEuTW9sZWN1bGUBbwF/ARJTY2lUZWdpYy5Nb2xlY3VsZQAAAQFkAv5qAQAAAAIAAgEUIAAAAPz8APwAAgAAAAAAAPC/AAAAAAAAGAAAAPz8APwAAgAAAAAAAPC/AkVpb/CFyfS/AuSDns2qz+e/AAAAABwAAAD8/AD8AAIAAAAAAADwvwJFaW/whcn0vwIydy0hH/QBwAAAAAAYCAAA/PwA/AACAAAAAAAA8L8CfT81XrrJBMAC7Q2+MJkqiD8AAAAAGAAAAPz8APwAAgAAAAAAAPC/An0/NV66yQTAAisYldQJ6AfAAAAAABgAAAD8/AD8AAIAAAAAAADwvwACOdbFbTQACMAAAAAAIAAAAPz8APwAAgAAAAAAAPC/AiD0bFZ9Lg/AAq2L22gAb+e/AAAAABgAAAD8/AD8AAIAAAAAAADwvwJ9PzVeuskEwAKNKO0NvjD4PwAAAAAYAAAA/PwA/AACAAAAAAAA8L8CfT81XrrJBMACFoxK6gT0EcAAAAAAGAAAAPz8APwAAgAAAAAAAPC/AAId6+I2GgASwAAAAAAYAAAA/PwA/AACAAAAAAAA8L8CfT81XrrJFMAC7Q2+MJkqmD8AAAAAGAAAAPz8APwAAgAAAAAAAPC/An0/NV66yRTAAqmkTkATYfg/AAAAABgAAAD8/AD8AAIAAAAAAADwvwLOGVHaG/wZwAJ1kxgEVg7nvwAAAAAYAAAA/PwA/AACAAAAAAAA8L8CzhlR2hv8GcACXLG/7J48AkAAAAAAGAAAAPz8APwAAgAAAAAAAPC/AiD0bFZ9Lg/AAk7zjlN0JAJAAAAAABgAAAD8/AD8AAIAAAAAAADwvwI830+Nly4fwAJyio7k8h+iPwAAAAAYAAAA/PwA/AACAAAAAAAA8L8CPN9PjZcuH8ACxSCwcmiR+D8AAAAAGAAAAPz8APwAAgAAAAAAAPC/As4ZUdob/BnAAlyxv+yePA5AAAAAABgAAAD8/AD8AAIAAAAAAADwvwIg9GxWfS4PwAJO845TdCQOQAAAAAAYAAAA/PwA/AACAAAAAAAA8L8CfT81XrrJFMACKqkT0EQYEkAAAAAAARUABAFlCAAAAAAAAAAABAgBZQQAAAAAAAAAAAQMAWUEAAAAAAAAAAAIEAFlBAAAAAAAAAAACBQBZQQAAAAAAAAAAAwYAWUEAAAAAAAAAAAMHAFlBBAAAAAAAAAAECABZQQAAAAAAAAAABQkAWUEAAAAAAAAAAAYKAFlBAAAAAAAAAAAKCwBZQQAAAAAAAAAACgwAWUIDAAAAAAAAAAsNAFlCAgAAAAAAAAALDgBZQQAAAAAAAAAADA8AWUEAAAAAAAAAAA0ARABZQQAAAAAAAAAADQBEQFlBAAAAAAAAAAAOAESAWUICAAAAAAAAAABEQETAWUICAAAAAAAAAA8ARABZQgIAAAAAAAAAAESARMBZQQAAAAAAAAAAAAAAAA=</t>
        </r>
      </text>
    </comment>
    <comment ref="A245" authorId="0" shapeId="0" xr:uid="{5FE484A2-9291-4285-B093-3FF1F02E2473}">
      <text>
        <r>
          <rPr>
            <sz val="9"/>
            <color indexed="81"/>
            <rFont val="Segoe UI"/>
            <charset val="1"/>
          </rPr>
          <t>Insight iXlW00001C0000245R0080105531S00000488P01652LAocjBAQBF1NjaVRlZ2ljLmRhdGEuTW9sZWN1bGUBbwF/ARJTY2lUZWdpYy5Nb2xlY3VsZQAAAQFkAv5qAQAAAAIAAgEWIAAAAPz8APwAAgAAAAAAAPC/AAAAAAAAGAAAAPz8APwAAgAAAAAAAPC/AALpSC7/If33vwAAAAAgAAAA/PwA/AACAAAAAAAA8L8Cnl4pyxDH9D8C0gDeAgkKAsAAAAAAGAAAAPz8APwAAgAAAAAAAPC/Ap5eKcsQx/S/AtIA3gIJCgLAAAAAABgAAAD8/AD8AAIAAAAAAADwvwKeXinLEMf0vwJGJXUCmggOwAAAAAAYAAAA/PwA/AACAAAAAAAA8L8C1zTvOEXHBMAC6Ugu/yH9978AAAAAGAAAAPz8APwAAgAAAAAAAPC/AALLoUW28/0RwAAAAAAYAAAA/PwA/AACAAAAAAAA8L8C1zTvOEXHBMACy6FFtvP9EcAAAAAAGAAAAPz8APwAAgAAAAAAAPC/Aibkg57NKg/AAtIA3gIJCgLAAAAAACAAAAD8/AD8AAIAAAAAAADwvwKeXinLEMf0PwJGJXUCmggOwAAAAAAcAAAA/PwA/AACAAAAAAAA8L8AAgU0ETY8/RfAAAAAABgAAAD8/AD8AAIAAAAAAADwvwIm5IOezSoPwAJGJXUCmggOwAAAAAAYAAAA/PwA/AACAAAAAAAA8L8Cnl4pyxDH9D8CNKK0N/gCG8AAAAAAGAAAAPz8APwAAgAAAAAAAPC/Atc07zhFxwRAAgU0ETY8/RfAAAAAABgAAAD8/AD8AAIAAAAAAADwvwKeXinLEMf0PwI3GsBbIIEgwAAAAAAYAAAA/PwA/AACAAAAAAAA8L8CJuSDns0qD0ACNKK0N/gCG8AAAAAAGAAAAPz8APwAAgAAAAAAAPC/Atc07zhFxwRAAsuhRbbz/RHAAAAAABgAAAD8/AD8AAIAAAAAAADwvwLXNO84RccEQAJO0ZFc/gMiwAAAAAAYAAAA/PwA/AACAAAAAAAA8L8CJuSDns0qD0ACNxrAWyCBIMAAAAAAGAAAAPz8APwAAgAAAAAAAPC/ArtJDAIrxxRAAgU0ETY8/RfAAAAAABgAAAD8/AD8AAIAAAAAAADwvwIm5IOezSoPQAI5Z0Rpb/ANwAAAAAAYAAAA/PwA/AACAAAAAAAA8L8CtOpztRW7FEACy6FFtvP9EcAAAAAAARgABAFlCAAAAAAAAAAABAgBZQQAAAAAAAAAAAQMAWUEAAAAAAAAAAAMEAFlCAgAAAAAAAAADBQBZQQAAAAAAAAAABAYAWUEAAAAAAAAAAAQHAFlBAAAAAAAAAAAFCABZQgIAAAAAAAAABgkAWUIAAAAAAAAAAAYKAFlBAAAAAAAAAAAHCwBZQgIAAAAAAAAACgwAWUEAAAAAAAAAAAwNAFlBAAAAAAAAAAAMDgBZQgMAAAAAAAAADQ8AWUICAAAAAAAAAA0ARABZQQAAAAAAAAAADgBEQFlBAAAAAAAAAAAPAESAWUEAAAAAAAAAAA8ARMBZQQAAAAAAAAAAAEQARQBZQgIAAAAAAAAAAETARUBZQgIAAAAAAAAACAsAWUEAAAAAAAAAAABEQESAWUICAAAAAAAAAABFAEVAWUEAAAAAAAAAAAAAAAA</t>
        </r>
      </text>
    </comment>
    <comment ref="A246" authorId="0" shapeId="0" xr:uid="{6BF77F7C-962F-4818-B77E-BF5CDB915827}">
      <text>
        <r>
          <rPr>
            <sz val="9"/>
            <color indexed="81"/>
            <rFont val="Segoe UI"/>
            <charset val="1"/>
          </rPr>
          <t>Insight iXlW00001C0000246R0080105531S00000490P01284LAocjBAQBF1NjaVRlZ2ljLmRhdGEuTW9sZWN1bGUBbwF/ARJTY2lUZWdpYy5Nb2xlY3VsZQAAAQFkAv5qAQAAAAIAAgERAREAAAD8/AD8AAIAAAAAAADwvwAAAAAAABgAAAD8/AD8AAIAAAAAAADwvwKJY13cRgP1PwKe76fGSzfnPwAAAAAYAAAA/PwA/AACAAAAAAAA8L8Cx9y1hHzQ9T8CS+oENBG2AUAAAAAAGAAAAPz8APwAAgAAAAAAAPC/AryWkA96tgRAApqZmZmZmZm/AAAAAAERAAAA/PwA/AACAAAAAAAA8L8Cdy0hH/Rstj8CzH9Iv32dB0AAAAAAGAAAAPz8APwAAgAAAAAAAPC/AlvTvOMUHQVAAsx/SL99HQhAAAAAABgAAAD8/AD8AAIAAAAAAADwvwKze/KwUOsOQAI4iUFg5dDoPwAAAAAYAAAA/PwA/AACAAAAAAAA8L8CUrgehetRD0ACS+oENBE2AkAAAAAAHAAAAPz8APwAAgAAAAAAAPC/AlUwKqkTkBRAApqZmZmZmZk/AAAAABgAAAD8/AD8AAIAAAAAAADwvwLRItv5fqoZQALRItv5fmrqPwAAAAAgAAAA/PwA/AACAAAAAAAA8L8Cnu+nxkt3GUACHVpkO99PA0AAAAAAHAAAAPz8APwAAgAAAAAAAPC/Ak0VjErqxB5AAjMzMzMzM7M/AAAAABgAAAD8/AD8AAIAAAAAAADwvwLkg57Nqu8hQAJNFYxK6gTsPwAAAAAYAAAA/PwA/AACAAAAAAAA8L8CA5oIG57eHkACx9y1hHzQ9r8AAAAAGAAAAPz8APwAAgAAAAAAAPC/An0/NV66iSRAAoljXdxGA8A/AAAAABgAAAD8/AD8AAIAAAAAAADwvwKIhVrTvCMnQAJNFYxK6gTsPwAAAAAYAAAA/PwA/AACAAAAAAAA8L8Ck8t/SL+9KUACiWNd3EYDwD8AAAAAAREABAFlBAAAAAAAAAAABAgBZQgIAAAAAAAAAAQMAWUEAAAAAAAAAAAIEAFlBAAAAAAAAAAACBQBZQQAAAAAAAAAAAwYAWUIDAAAAAAAAAAUHAFlCAgAAAAAAAAAGCABZQQAAAAAAAAAACAkAWUEAAAAAAAAAAAkKAFlCAAAAAAAAAAAJCwBZQQAAAAAAAAAACwwAWUEAAAAAAAAAAAsNAFlBAAAAAAAAAAAMDgBZQQAAAAAAAAAADg8AWUEAAAAAAAAAAA8ARABZQQAAAAAAAAAABgcAWUEAAAAAAAAAAAAAAAA</t>
        </r>
      </text>
    </comment>
    <comment ref="A247" authorId="0" shapeId="0" xr:uid="{04638FAD-ED31-410C-8AFB-589C820B3199}">
      <text>
        <r>
          <rPr>
            <sz val="9"/>
            <color indexed="81"/>
            <rFont val="Segoe UI"/>
            <charset val="1"/>
          </rPr>
          <t>Insight iXlW00001C0000247R0080105531S00000492P02064LAocjBAQBF1NjaVRlZ2ljLmRhdGEuTW9sZWN1bGUBbwF/ARJTY2lUZWdpYy5Nb2xlY3VsZQAAAQFkAv5qAQAAAAIAAgEcARAAAAD8/AD8AAIAAAAAAADwvwAAAAAAACAAAAD8/AD8AAIAAAAAAADwvwItQxzr4jboPwJz1xLyQc/0PwAAAAAgAAAA/PwA/AACAAAAAAAA8L8Cc9cS8kHP9L8C9UpZhjjW5z8AAAAAHAAAAPz8APwAAgAAAAAAAPC/AnPXEvJBz/Q/AvVKWYY41ue/AAAAABgAAAD8/AD8AAIAAAAAAADwvwL1SlmGONbnvwJz1xLyQc/0vwAAAAAYAAAA/PwA/AACAAAAAAAA8L8Cc9cS8kHPBEAAAAAAABwAAAD8/AD8AAIAAAAAAADwvwACc9cS8kHPBMAAAAAAGAAAAPz8APwAAgAAAAAAAPC/Aka28/3U+AHAAnPXEvJBz/S/AAAAACAAAAD8/AD8AAIAAAAAAADwvwJz1xLyQc8EQAIRx7q4jQb4PwAAAAAcAAAA/PwA/AACAAAAAAAA8L8CLUMc6+I2D0ACLUMc6+I26L8AAAAAGAAAAPz8APwAAgAAAAAAAPC/Ai1DHOviNui/Ai1DHOviNg/AAAAAABgAAAD8/AD8AAIAAAAAAADwvwIDCYofY+4HwAAAAAAAGAAAAPz8APwAAgAAAAAAAPC/AgMJih9j7gfAAnPXEvJBzwTAAAAAABgAAAD8/AD8AAIAAAAAAADwvwJz1xLyQc8UQALtDb4wmSqIvwAAAAAYAAAA/PwA/AACAAAAAAAA8L8CVHQkl/8QAsACLUMc6+I2D8AAAAAAIAAAAPz8APwAAgAAAAAAAPC/Aka28/3U+AHAAnPXEvJBz/Q/AAAAABwAAAD8/AD8AAIAAAAAAADwvwJGtvP91PgRwAAAAAAAHAAAAPz8APwAAgAAAAAAAPC/AnPXEvJBzxRAAvVKWYY41vc/AAAAABwAAAD8/AD8AAIAAAAAAADwvwJseHqlLAMaQAItQxzr4jbovwAAAAAYAAAA/PwA/AACAAAAAAAA8L8Cpd++DpzzFMACc9cS8kHP9D8AAAAAGAAAAPz8APwAAgAAAAAAAPC/AqXfvg6c8xTAAnPXEvJBz/S/AAAAABgAAAD8/AD8AAIAAAAAAADwvwJseHqlLAMaQAI4+MJkquABQAAAAAAYAAAA/PwA/AACAAAAAAAA8L8CSS7/If02H0AC7Q2+MJkqiL8AAAAAIAAAAPz8APwAAgAAAAAAAPC/Amx4eqUsAxpAAsFbIEHx4w1AAAAAABgAAAD8/AD8AAIAAAAAAADwvwJJLv8h/TYfQALZzvdT46X3PwAAAAAgAAAA/PwA/AACAAAAAAAA8L8CE/JBz2Y1IkACZTvfT42X6L8AAAAAGAAAAPz8APwAAgAAAAAAAPC/AnPXEvJBzxRAAj9XW7G/7BFAAAAAABgAAAD8/AD8AAIAAAAAAADwvwIT8kHPZjUiQAKaCBueXikCwAAAAAABHQAEAWUIAAAAAAAAAAAACAFlCAAAAAAAAAAAAAwBZQQAAAAAAAAAAAAQAWUEAAAAAAAAAAAMFAFlBAAAAAAAAAAAEBgBZQgMAAAAAAAAABAcAWUEAAAAAAAAAAAUIAFlCAAAAAAAAAAAFCQBZQQAAAAAAAAAABgoAWUEAAAAAAAAAAAcLAFlBAAAAAAAAAAAHDABZQgIAAAAAAAAACQ0AWUEAAAAAAAAAAAoOAFlCAgAAAAAAAAALDwBZQgAAAAAAAAAACwBEAFlBAAAAAAAAAAANAERAWUIDAAAAAAAAAA0ARIBZQQAAAAAAAAAAAEQARMBZQQAAAAAAAAAAAEQARQBZQQAAAAAAAAAAAERARUBZQQAAAAAAAAAAAESARYBZQgMAAAAAAAAAAEVARcBZQQAAAAAAAAAAAEVARgBZQgIAAAAAAAAAAEWARkBZQQAAAAAAAAAAAEXARoBZQQAAAAAAAAAAAEZARsBZQQAAAAAAAAAADA4AWUEAAAAAAAAAAABFgEYAWUEAAAAAAAAAAAAAAAA</t>
        </r>
      </text>
    </comment>
    <comment ref="A248" authorId="0" shapeId="0" xr:uid="{D2BE6C0E-1A86-44BC-8A61-AAC50F36B34A}">
      <text>
        <r>
          <rPr>
            <sz val="9"/>
            <color indexed="81"/>
            <rFont val="Segoe UI"/>
            <charset val="1"/>
          </rPr>
          <t>Insight iXlW00001C0000248R0080105531S00000494P01720LAocjBAQBF1NjaVRlZ2ljLmRhdGEuTW9sZWN1bGUBbwF/ARJTY2lUZWdpYy5Nb2xlY3VsZQAAAQFkAv5qAQAAAAIAAgEXARAAAAD8/AD8AAIAAAAAAADwvwAAAAAAACAAAAD8/AD8AAIAAAAAAADwvwLmP6Tfvg7oPwIQejarPlf1PwAAAAAgAAAA/PwA/AACAAAAAAAA8L8CEHo2qz5X9b8CokW28/3U6D8AAAAAGAAAAPz8APwAAgAAAAAAAPC/AuPHmLuWkPQ/AuY/pN++Dui/AAAAABgAAAD8/AD8AAIAAAAAAADwvwKiRbbz/dTovwLjx5i7lpD0vwAAAAAYAAAA/PwA/AACAAAAAAAA8L8C48eYu5aQBEACxNMrZRnimD8AAAAAGAAAAPz8APwAAgAAAAAAAPC/AgXFjzF3LfQ/Av0Yc9cS8gHAAAAAABgAAAD8/AD8AAIAAAAAAADwvwLUK2UZ4tgOQAJI4XoUrkfnvwAAAAAYAAAA/PwA/AACAAAAAAAA8L8CdEaU9gZfBEACP+jZrPrcB8AAAAAAHAAEAPz8APwAAgAAAAAAAPC/Av+ye/KwkBRAAqJFtvP91Kg/AAAAABgAAAD8/AD8AAIAAAAAAADwvwJlqmBUUqcOQAKOl24Sg8ABwAAAAAAcAAQA/PwA/AACAAAAAAAA8L8CzO7Jw0ItBEACofgx5q7lEcAAAAAAIAAAAPz8APwAAgAAAAAAAPC/AiuHFtnOdxRAAtEi2/l+avk/AAAAACAA/AD8/AD8AAIAAAAAAADwvwL45GGh1rQZQAKM22gAb4HmvwAAAAAcAAAA/PwA/AACAAAAAAAA8L8CK4cW2c53FEACl5APejarB8AAAAAAIAAAAPz8APwAAgAAAAAAAPC/AoljXdxGA/M/Ap6AJsKG5xTAAAAAACAA/AD8/AD8AAIAAAAAAADwvwK+UpYhjnUOQAKegCbChucUwAAAAAAYAAAA/PwA/AACAAAAAAAA8L8CdEaU9gZfFEAC6bevA+fMEcAAAAAAGAAAAPz8APwAAgAAAAAAAPC/AiS5/If0mxlAAi//If32dQHAAAAAABgAAAD8/AD8AAIAAAAAAADwvwJseHqlLIMZQALmP6Tfvs4UwAAAAAAYAAAA/PwA/AACAAAAAAAA8L8CHeviNhrAHkACcc6I0t5gB8AAAAAAGAAAAPz8APwAAgAAAAAAAPC/AplMFYxKahlAAmhEaW/wxRrAAAAAABgAAAD8/AD8AAIAAAAAAADwvwKLjuTyH/IhQALPZtXnaisBwAAAAAABFwAEAWUIAAAAAAAAAAAACAFlCAAAAAAAAAAAAAwBZQQAAAAAAAAAAAAQAWUEAAAAAAAAAAAMFAFlCAwAAAAAAAAADBgBZQQAAAAAAAAAABQcAWUEAAAAAAAAAAAYIAFlCAwAAAAAAAAAHCQBZQQAAAAAAAAAABwoAWUIDAAAAAAAAAAgLAFlBAAAAAAAAAAAJDABZQgAAAAAAAAAACQ0AWUEAAAAAAAAAAAoOAFlBAAAAAAAAAAALDwBZQgAAAAAAAAAACwBEAFlBAAAAAAAAAAAOAERAWUEAAAAAAAAAAA4ARIBZQQAAAAAAAAAAAERARMBZQQAAAAAAAAAAAESARQBZQQAAAAAAAAAAAETARUBZQQAAAAAAAAAAAEUARYBZQQAAAAAAAAAACAoAWUEAAAAAAAAAAAAAAAA</t>
        </r>
      </text>
    </comment>
    <comment ref="A249" authorId="0" shapeId="0" xr:uid="{E630A700-8234-4C25-A6A9-C4A8698BD2DE}">
      <text>
        <r>
          <rPr>
            <sz val="9"/>
            <color indexed="81"/>
            <rFont val="Segoe UI"/>
            <charset val="1"/>
          </rPr>
          <t>Insight iXlW00001C0000249R0080105531S00000496P01376LAocjBAQBF1NjaVRlZ2ljLmRhdGEuTW9sZWN1bGUBbwF/ARJTY2lUZWdpYy5Nb2xlY3VsZQAAAQFkAv5qAQAAAAIAAgESAREAAAD8/AD8AAIAAAAAAADwvwAAAAAAABgAAAD8/AD8AAIAAAAAAADwvwL6fmq8dJOYvwJPr5RliGP4PwAAAAAYAAAA/PwA/AACAAAAAAAA8L8Cfoy5awn58z8C16NwPQpXAkAAAAAAGAAAAPz8APwAAgAAAAAAAPC/Am40gLdAgvW/Alg5tMh2PgJAAAAAACAAAAD8/AD8AAIAAAAAAADwvwJEi2zn+ykEQAJJLv8h/fb4PwAAAAAYAAAA/PwA/AACAAAAAAAA8L8CETY8vVKW8z8Cf/s6cM6IDkAAAAAAGAAAAPz8APwAAgAAAAAAAPC/AmrecYqO5PW/AgCRfvs6cA5AAAAAABgAAAD8/AD8AAIAAAAAAADwvwKBJsKGp1cOQAJU46WbxKACQAAAAAAYAAAA/PwA/AACAAAAAAAA8L8C+n5qvHSTuL8CfIMvTKZKEkAAAAAAAREAAAD8/AD8AAIAAAAAAADwvwI2XrpJDIIFwAI8TtGRXD4SQAAAAAAYAAAA/PwA/AACAAAAAAAA8L8Cw/UoXI9CFEACQ61p3nGK+T8AAAAAGAAAAPz8APwAAgAAAAAAAPC/AoNRSZ2AJg5AAvw6cM6I0g5AAAAAABgAAAD8/AD8AAIAAAAAAADwvwJhw9MrZVkZQALRItv5fuoCQAAAAAAYAAAA/PwA/AACAAAAAAAA8L8CRIts5/spFEACeVioNc17EkAAAAAAGAAAAPz8APwAAgAAAAAAAPC/AuJYF7fRQBlAAnl6pSxDHA9AAAAAABwABAD8/AD8AAIAAAAAAADwvwJlO99PjVceQAJU46WbxKASQAAAAAAgAAAA/PwA/AACAAAAAAAA8L8CggTFjzG3IUAC9rnaiv1lD0AAAAAAIAD8APz8APwAAgAAAAAAAPC/AubQItv5Ph5AAigPC7WmuRhAAAAAAAETAAQBZQQAAAAAAAAAAAQIAWUICAAAAAAAAAAEDAFlBAAAAAAAAAAACBABZQQAAAAAAAAAAAgUAWUEAAAAAAAAAAAMGAFlCAwAAAAAAAAAEBwBZQQAAAAAAAAAABQgAWUICAAAAAAAAAAYJAFlBAAAAAAAAAAAHCgBZQgMAAAAAAAAABwsAWUEAAAAAAAAAAAoMAFlBAAAAAAAAAAALDQBZQgIAAAAAAAAADA4AWUIDAAAAAAAAAA4PAFlBAAAAAAAAAAAPAEQAWUIAAAAAAAAAAA8AREBZQQAAAAAAAAAABggAWUEAAAAAAAAAAA0OAFlBAAAAAAAAAAAAAAAAA==</t>
        </r>
      </text>
    </comment>
    <comment ref="A250" authorId="0" shapeId="0" xr:uid="{ACBFC82C-BC4B-4016-97EF-CCC9EA2A67F1}">
      <text>
        <r>
          <rPr>
            <sz val="9"/>
            <color indexed="81"/>
            <rFont val="Segoe UI"/>
            <charset val="1"/>
          </rPr>
          <t>Insight iXlW00001C0000250R0080105531S00000498P01500LAocjBAQBF1NjaVRlZ2ljLmRhdGEuTW9sZWN1bGUBbwF/ARJTY2lUZWdpYy5Nb2xlY3VsZQAAAQFkAv5qAQAAAAIAAgEUAREAAAD8/AD8AAIAAAAAAADwvwAAAAAAABgAAAD8/AD8AAIAAAAAAADwvwACy6FFtvP9978AAAAAGAAAAPz8APwAAgAAAAAAAPC/Ag8LtaZ5x/S/AjXvOEVH8gHAAAAAABgAAAD8/AD8AAIAAAAAAADwvwIPC7Wmecf0PwJDrWnecQoCwAAAAAAgAAAA/PwA/AACAAAAAAAA8L8CSOF6FK7HBMACryXkg57N978AAAAAHAAAAPz8APwAAgAAAAAAAPC/Ag8LtaZ5x/S/AhvAWyBB8Q3AAAAAABwAAAD8/AD8AAIAAAAAAADwvwJI4XoUrscEQALLoUW28/33vwAAAAAYAAAA/PwA/AACAAAAAAAA8L8CDwu1pnnH9D8CKX6MuWsJDsAAAAAAHAAAAPz8APwAAgAAAAAAAPC/AAI8TtGRXP4RwAAAAAAYAAAA/PwA/AACAAAAAAAA8L8CSOF6FK7HBMACNe84RUfyEcAAAAAAGAAAAPz8APwAAgAAAAAAAPC/AtBm1edqKw9AAkOtad5xCgLAAAAAABgAAAD8/AD8AAIAAAAAAADwvwLQZtXnaisPwAINAiuHFtkNwAAAAAAYAAAA/PwA/AACAAAAAAAA8L8CSOF6FK7HBMACqFfKMsTxF8AAAAAAGAAAAPz8APwAAgAAAAAAAPC/AkjhehSuxxTAAi6QoPgx5hHAAAAAABgAAAD8/AD8AAIAAAAAAADwvwLQZtXnaisPwALQZtXnausawAAAAAAYAAAA/PwA/AACAAAAAAAA8L8CSOF6FK7HFMAChQ1Pr5TlF8AAAAAAGAAAAPz8APwAAgAAAAAAAPC/AgwkKH6M+RnAAsZtNIC3wA3AAAAAACQAAAD8/AD8AAIAAAAAAADwvwIMJCh+jPkZwAIZc9cS8sEBwAAAAAAkAAAA/PwA/AACAAAAAAAA8L8C7FG4HoUrH8ACJzEIrBzaEcAAAAAAJAAAAPz8APwAAgAAAAAAAPC/AuxRuB6FKx/AAmmR7Xw/tQfAAAAAAAEVAAQBZQQAAAAAAAAAAAQIAWUEAAAAAAAAAAAEDAFlCAgAAAAAAAAACBABZQgAAAAAAAAAAAgUAWUEAAAAAAAAAAAMGAFlBAAAAAAAAAAADBwBZQQAAAAAAAAAABQgAWUEAAAAAAAAAAAUJAFlBAAAAAAAAAAAGCgBZQQAAAAAAAAAACQsAWUIDAAAAAAAAAAkMAFlBAAAAAAAAAAALDQBZQQAAAAAAAAAADA4AWUICAAAAAAAAAA0PAFlCAgAAAAAAAAANAEQAWUEAAAAAAAAAAABEAERAWUEAAAAAAAAAAABEAESAWUEAAAAAAAAAAABEAETAWUEAAAAAAAAAAAcIAFlCAgAAAAAAAAAODwBZQQAAAAAAAAAAAAAAAA=</t>
        </r>
      </text>
    </comment>
    <comment ref="A251" authorId="0" shapeId="0" xr:uid="{64D5565E-A049-4270-8DBC-998E041170CA}">
      <text>
        <r>
          <rPr>
            <sz val="9"/>
            <color indexed="81"/>
            <rFont val="Segoe UI"/>
            <charset val="1"/>
          </rPr>
          <t>Insight iXlW00001C0000251R0080105531S00000500P01432LAocjBAQBF1NjaVRlZ2ljLmRhdGEuTW9sZWN1bGUBbwF/ARJTY2lUZWdpYy5Nb2xlY3VsZQAAAQFkAv5qAQAAAAIAAgEUIAAAAPz8APwAAgAAAAAAAPC/AAAAAAAAGAAAAPz8APwAAgAAAAAAAPC/AgIrhxbZzvS/AhPyQc9m1ec/AAAAACAAAAD8/AD8AAIAAAAAAADwvwICK4cW2c70vwKcM6K0N/gBQAAAAAAYAAAA/PwA/AACAAAAAAAA8L8CylTBqKTOBMAAAAAAABgAAAD8/AD8AAIAAAAAAADwvwJL6gQ0ETYPwAIT8kHPZtXnPwAAAAAYAAAA/PwA/AACAAAAAAAA8L8CylTBqKTOFMAAAAAAABgAAAD8/AD8AAIAAAAAAADwvwKKH2PuWgIawAIT8kHPZtXnPwAAAAAYAAAA/PwA/AACAAAAAAAA8L8CL/8h/fY1H8AAAAAAABgAAAD8/AD8AAIAAAAAAADwvwL45GGh1jQiwAIT8kHPZtXnPwAAAAAYAAAA/PwA/AACAAAAAAAA8L8CWMoyxLHOJMAAAAAAABgAAAD8/AD8AAIAAAAAAADwvwIqOpLLf2gnwAIT8kHPZtXnPwAAAAAYAAAA/PwA/AACAAAAAAAA8L8Cih9j7loCKsAAAAAAABgAAAD8/AD8AAIAAAAAAADwvwKKH2PuWgIqwAIvbqMBvAX4vwAAAAAYAAAA/PwA/AACAAAAAAAA8L8CXY/C9SicLMAC48eYu5YQAsAAAAAAGAAAAPz8APwAAgAAAAAAAPC/Al2PwvUonCzAAvp+arx0Ew7AAAAAABgAAAD8/AD8AAIAAAAAAADwvwK9dJMYBDYvwALAfR04ZwQSwAAAAAAYAAAA/PwA/AACAAAAAAAA8L8CvXSTGAQ2L8ACaERpb/AFGMAAAAAAGAAAAPz8APwAAgAAAAAAAPC/Ag8tsp3v5zDAArHh6ZWyDBvAAAAAABgAAAD8/AD8AAIAAAAAAADwvwIPLbKd7+cwwAKeXinLEIcgwAAAAAAYAAAA/PwA/AACAAAAAAAA8L8C+ORhodY0MsACwH0dOGcEIsAAAAAAARMABAFlCAAAAAAAAAAABAgBZQQAAAAAAAAAAAQMAWUEAAAAAAAAAAAMEAFlBAAAAAAAAAAAEBQBZQQAAAAAAAAAABQYAWUEAAAAAAAAAAAYHAFlBAAAAAAAAAAAHCABZQQAAAAAAAAAACAkAWUEAAAAAAAAAAAkKAFlBAAAAAAAAAAAKCwBZQgIAAAAAAAAACwwAWUEAAAAAAAAAAAwNAFlBAAAAAAAAAAANDgBZQQAAAAAAAAAADg8AWUEAAAAAAAAAAA8ARABZQQAAAAAAAAAAAEQAREBZQQAAAAAAAAAAAERARIBZQQAAAAAAAAAAAESARMBZQQAAAAAAAAAAAAAAAA=</t>
        </r>
      </text>
    </comment>
    <comment ref="A252" authorId="0" shapeId="0" xr:uid="{3E4E5CC5-E0DA-4FEC-805D-DD3E30241AB1}">
      <text>
        <r>
          <rPr>
            <sz val="9"/>
            <color indexed="81"/>
            <rFont val="Segoe UI"/>
            <charset val="1"/>
          </rPr>
          <t>Insight iXlW00001C0000252R0080105531S00000502P01180LAocjBAQBF1NjaVRlZ2ljLmRhdGEuTW9sZWN1bGUBbwF/ARJTY2lUZWdpYy5Nb2xlY3VsZQAAAQFkAv5qAQAAAAIAAgEQAREAAAD8/AD8AAIAAAAAAADwvwAAAAAAABgAAAD8/AD8AAIAAAAAAADwvwACutqK/WX3978AAAAAGAAAAPz8APwAAgAAAAAAAPC/AlJJnYAmwvS/AvaX3ZOHBQLAAAAAABgAAAD8/AD8AAIAAAAAAADwvwJSSZ2AJsL0PwL2l92ThwUCwAAAAAAYAAAA/PwA/AACAAAAAAAA8L8CUkmdgCbC9L8CVAWjkjoBDsAAAAAAGAAAAPz8APwAAgAAAAAAAPC/Ahlz1xLywQTAArraiv1l9/e/AAAAABgAAAD8/AD8AAIAAAAAAADwvwJSSZ2AJsL0PwJUBaOSOgEOwAAAAAAYAAAA/PwA/AACAAAAAAAA8L8AAvaX3ZOHBRLAAAAAAAEQAAAA/PwA/AACAAAAAAAA8L8CwhcmUwUjD8AC9pfdk4cFAsAAAAAAGAAAAPz8APwAAgAAAAAAAPC/Ahlz1xLywRTAArraiv1l9/e/AAAAACAAAAD8/AD8AAIAAAAAAADwvwIZc9cS8sEUwAAAAAAAHAAAAPz8APwAAgAAAAAAAPC/Am7F/rJ78hnAAvaX3ZOHBQLAAAAAABgAAAD8/AD8AAIAAAAAAADwvwLCFyZTBSMfwAK62or9Zff3vwAAAAAYAAAA/PwA/AACAAAAAAAA8L8CbsX+snvyGcACVAWjkjoBDsAAAAAAGAAAAPz8APwAAgAAAAAAAPC/An0/NV66KSLAAvaX3ZOHBQLAAAAAABgAAAD8/AD8AAIAAAAAAADwvwLCFyZTBSMfwAL2l92ThwUSwAAAAAABEAAEAWUEAAAAAAAAAAAECAFlCAwAAAAAAAAABAwBZQQAAAAAAAAAAAgQAWUEAAAAAAAAAAAIFAFlBAAAAAAAAAAADBgBZQgIAAAAAAAAABAcAWUICAAAAAAAAAAUIAFlBAAAAAAAAAAAICQBZQQAAAAAAAAAACQoAWUIAAAAAAAAAAAkLAFlBAAAAAAAAAAALDABZQQAAAAAAAAAACw0AWUEAAAAAAAAAAAwOAFlBAAAAAAAAAAANDwBZQQAAAAAAAAAABgcAWUEAAAAAAAAAAAAAAAA</t>
        </r>
      </text>
    </comment>
    <comment ref="A253" authorId="0" shapeId="0" xr:uid="{EB73F0E9-A4D8-41C4-A75B-234BA097FC14}">
      <text>
        <r>
          <rPr>
            <sz val="9"/>
            <color indexed="81"/>
            <rFont val="Segoe UI"/>
            <charset val="1"/>
          </rPr>
          <t>Insight iXlW00001C0000253R0080105531S00000504P02128LAocjBAQBF1NjaVRlZ2ljLmRhdGEuTW9sZWN1bGUBbwF/ARJTY2lUZWdpYy5Nb2xlY3VsZQAAAQFkAv5qAQAAAAIAAgEdARAAAAD8/AD8AAIAAAAAAADwvwAAAAAAACAAAAD8/AD8AAIAAAAAAADwvwJVMCqpE9D0vwLXo3A9CtfnPwAAAAAgAAAA/PwA/AACAAAAAAAA8L8C16NwPQrX5z8CVTAqqRPQ9D8AAAAAHAAAAPz8APwAAgAAAAAAAPC/AtejcD0K1+e/AlUwKqkT0PS/AAAAABwAAAD8/AD8AAIAAAAAAADwvwJVMCqpE9D0PwLXo3A9CtfnvwAAAAAYAAAA/PwA/AACAAAAAAAA8L8CKA8Ltab5AcACVTAqqRPQ9L8AAAAAGAAAAPz8APwAAgAAAAAAAPC/Ao4G8BZI0ARAAAAAAAAYAAAA/PwA/AACAAAAAAAA8L8CHjhnRGnvB8ACjgbwFkjQBMAAAAAAGAAAAPz8APwAAgAAAAAAAPC/Ah44Z0Rp7wfAAAAAAAAgAAAA/PwA/AACAAAAAAAA8L8CjgbwFkjQBEACZMxdS8gH+D8AAAAAHAAAAPz8APwAAgAAAAAAAPC/ArkehetROA9AAtejcD0K1+e/AAAAABgAAAD8/AD8AAIAAAAAAADwvwIoDwu1pvkBwAK5HoXrUTgPwAAAAAAYAAAA/PwA/AACAAAAAAAA8L8CKA8Ltab5EcACjgbwFkjQBMAAAAAAGAAAAPz8APwAAgAAAAAAAPC/AigPC7Wm+RHAAAAAAAAYAAAA/PwA/AACAAAAAAAA8L8CchsN4C3QFEAAAAAAACAAAAD8/AD8AAIAAAAAAADwvwLXo3A9CtfnvwK5HoXrUTgPwAAAAAAcAAAA/PwA/AACAAAAAAAA8L8CHjhnRGnvB8ACchsN4C3QFMAAAAAAGAAAAPz8APwAAgAAAAAAAPC/AqMjufyH9BTAAlUwKqkT0PS/AAAAABwAAAD8/AD8AAIAAAAAAADwvwJyGw3gLdAUQAJkzF1LyAf4PwAAAAAcAAAA/PwA/AACAAAAAAAA8L8Ch6dXyjIEGkAC16NwPQrX578AAAAAGAAAAPz8APwAAgAAAAAAAPC/AigPC7Wm+QHAAoenV8oyBBrAAAAAABgAAAD8/AD8AAIAAAAAAADwvwIoDwu1pvkRwAJyGw3gLdAUwAAAAAAYAAAA/PwA/AACAAAAAAAA8L8Ch6dXyjIEGkACKA8Ltab5AUAAAAAAGAAAAPz8APwAAgAAAAAAAPC/ArkehetROB9AAAAAAAAgAAAA/PwA/AACAAAAAAAA8L8Ch6dXyjIEGkACIh/0bFb9DUAAAAAAGAAAAPz8APwAAgAAAAAAAPC/ArkehetROB9AAmTMXUvIB/g/AAAAACAAAAD8/AD8AAIAAAAAAADwvwJn1edqKzYiQALXo3A9CtfnvwAAAAAYAAAA/PwA/AACAAAAAAAA8L8CchsN4C3QFEACKA8Ltab5EUAAAAAAGAAAAPz8APwAAgAAAAAAAPC/AmfV52orNiJAAigPC7Wm+QHAAAAAAAEeAAQBZQgAAAAAAAAAAAAIAWUIAAAAAAAAAAAADAFlBAAAAAAAAAAAABABZQQAAAAAAAAAAAwUAWUEAAAAAAAAAAAQGAFlBAAAAAAAAAAAFBwBZQgIAAAAAAAAABQgAWUEAAAAAAAAAAAYJAFlCAAAAAAAAAAAGCgBZQQAAAAAAAAAABwsAWUEAAAAAAAAAAAcMAFlBAAAAAAAAAAAIDQBZQgIAAAAAAAAACg4AWUEAAAAAAAAAAAsPAFlCAAAAAAAAAAALAEQAWUEAAAAAAAAAAAwAREBZQgIAAAAAAAAADgBEgFlCAwAAAAAAAAAOAETAWUEAAAAAAAAAAABEAEUAWUEAAAAAAAAAAABEAEVAWUEAAAAAAAAAAABEgEWAWUEAAAAAAAAAAABEwEXAWUIDAAAAAAAAAABFgEYAWUEAAAAAAAAAAABFgEZAWUICAAAAAAAAAABFwEaAWUEAAAAAAAAAAABGAEbAWUEAAAAAAAAAAABGgEcAWUEAAAAAAAAAAA0AREBZQQAAAAAAAAAAAEXARkBZQQAAAAAAAAAAAAAAAA=</t>
        </r>
      </text>
    </comment>
    <comment ref="A254" authorId="0" shapeId="0" xr:uid="{B51E006D-C9DD-4ACE-8D62-7DBB49CD0DD4}">
      <text>
        <r>
          <rPr>
            <sz val="9"/>
            <color indexed="81"/>
            <rFont val="Segoe UI"/>
            <charset val="1"/>
          </rPr>
          <t>Insight iXlW00001C0000254R0080105531S00000506P01700LAocjBAQBF1NjaVRlZ2ljLmRhdGEuTW9sZWN1bGUBbwF/ARJTY2lUZWdpYy5Nb2xlY3VsZQAAAQFkAv5qAQAAAAIAAgEXARAAAAD8/AD8AAIAAAAAAADwvwAAAAAAACAAAAD8/AD8AAIAAAAAAADwvwI6I0p7gy/oPwJjEFg5tMj0PwAAAAAgAAAA/PwA/AACAAAAAAAA8L8CYxBYObTI9L8CAiuHFtnO5z8AAAAAHAAAAPz8APwAAgAAAAAAAPC/AgIrhxbZzue/AmMQWDm0yPS/AAAAABgAAAD8/AD8AAIAAAAAAADwvwJjEFg5tMj0PwI6I0p7gy/ovwAAAAAYAAAA/PwA/AACAAAAAAAA8L8CYxBYObTIBEAAAAAAABgAAAD8/AD8AAIAAAAAAADwvwJjEFg5tMj0PwIlBoGVQwsCwAAAAAAYAAAA/PwA/AACAAAAAAAA8L8ClBgEVg4tD0ACOiNKe4Mv6L8AAAAAGAAAAPz8APwAAgAAAAAAAPC/AmMQWDm0yARAAubQItv5/gfAAAAAABwABAD8/AD8AAIAAAAAAADwvwJjEFg5tMgUQAAAAAAAGAAAAPz8APwAAgAAAAAAAPC/ApQYBFYOLQ9AAiUGgZVDCwLAAAAAABwABAD8/AD8AAIAAAAAAADwvwJjEFg5tMgEQAI6kst/SP8RwAAAAAAgAAAA/PwA/AACAAAAAAAA8L8CYxBYObTIFEACHqfoSC7/9z8AAAAAIAD8APz8APwAAgAAAAAAAPC/AnsUrkfh+hlAAjojSnuDL+i/AAAAABwAAAD8/AD8AAIAAAAAAADwvwJjEFg5tMgUQALm0CLb+f4HwAAAAAAgAAAA/PwA/AACAAAAAAAA8L8CYxBYObTI9D8ChetRuB4FFcAAAAAAIAD8APz8APwAAgAAAAAAAPC/ApQYBFYOLQ9AAoXrUbgeBRXAAAAAABgAAAD8/AD8AAIAAAAAAADwvwJjEFg5tMgUQAI6kst/SP8RwAAAAAAYAAAA/PwA/AACAAAAAAAA8L8CexSuR+H6GUACJQaBlUMLAsAAAAAAGAAAAPz8APwAAgAAAAAAAPC/AnsUrkfh+hlAAoXrUbgeBRXAAAAAABgAAAD8/AD8AAIAAAAAAADwvwKUGARWDi0fQALm0CLb+f4HwAAAAAAYAAAA/PwA/AACAAAAAAAA8L8CexSuR+H6GUACTRWMSuoEG8AAAAAAGAAAAPz8APwAAgAAAAAAAPC/AlYOLbKdLyJAAiUGgZVDCwLAAAAAAAEXAAQBZQgAAAAAAAAAAAAIAWUIAAAAAAAAAAAADAFlBAAAAAAAAAAAABABZQQAAAAAAAAAABAUAWUIDAAAAAAAAAAQGAFlBAAAAAAAAAAAFBwBZQQAAAAAAAAAABggAWUIDAAAAAAAAAAcJAFlBAAAAAAAAAAAHCgBZQgMAAAAAAAAACAsAWUEAAAAAAAAAAAkMAFlCAAAAAAAAAAAJDQBZQQAAAAAAAAAACg4AWUEAAAAAAAAAAAsPAFlCAAAAAAAAAAALAEQAWUEAAAAAAAAAAA4AREBZQQAAAAAAAAAADgBEgFlBAAAAAAAAAAAAREBEwFlBAAAAAAAAAAAARIBFAFlBAAAAAAAAAAAARMBFQFlBAAAAAAAAAAAARQBFgFlBAAAAAAAAAAAICgBZQQAAAAAAAAAAAAAAAA=</t>
        </r>
      </text>
    </comment>
    <comment ref="A255" authorId="0" shapeId="0" xr:uid="{56BFDABF-1CBE-4701-9911-88BC24AB6FEE}">
      <text>
        <r>
          <rPr>
            <sz val="9"/>
            <color indexed="81"/>
            <rFont val="Segoe UI"/>
            <charset val="1"/>
          </rPr>
          <t>Insight iXlW00001C0000255R0080105531S00000508P01624LAocjBAQBF1NjaVRlZ2ljLmRhdGEuTW9sZWN1bGUBbwF/ARJTY2lUZWdpYy5Nb2xlY3VsZQAAAQFkAv5qAQAAAAIAAgEWAREAAAD8/AD8AAIAAAAAAADwvwAAAAAAABgAAAD8/AD8AAIAAAAAAADwvwIJG55eKcv0vwLgLZCg+DHovwAAAAAYAAAA/PwA/AACAAAAAAAA8L8CCRueXinL9L8CWmQ7308NAsAAAAAAGAAAAPz8APwAAgAAAAAAAPC/AtBE2PD0ygTAAAAAAAAgAAAA/PwA/AACAAAAAAAA8L8AAsWxLm6jAQjAAAAAABgAAAD8/AD8AAIAAAAAAADwvwLQRNjw9MoEwALFsS5uowEIwAAAAAAYAAAA/PwA/AACAAAAAAAA8L8CVVInoIkwD8AC4C2QoPgx6L8AAAAAGAAAAPz8APwAAgAAAAAAAPC/AAJTBaOSOgESwAAAAAAYAAAA/PwA/AACAAAAAAAA8L8CVVInoIkwD8ACWmQ7308NAsAAAAAAAREAAAD8/AD8AAIAAAAAAADwvwLQRNjw9MoUwAAAAAAAGAAAAPz8APwAAgAAAAAAAPC/Agkbnl4py/Q/Ag8LtaZ5BxXAAAAAABwAAAD8/AD8AAIAAAAAAADwvwLQRNjw9MoUwALFsS5uowEIwAAAAAAYAAAA/PwA/AACAAAAAAAA8L8C0ETY8PTKBEACxbEubqMBGMAAAAAAHAAAAPz8APwAAgAAAAAAAPC/Atnw9EpZRhrAAmU730+NFwPAAAAAABgAAAD8/AD8AAIAAAAAAADwvwJj7lpCPmgVwAJMpgpGJfURwAAAAAAYAAAA/PwA/AACAAAAAAAA8L8CfIMvTKZKHsACYeXQItv5C8AAAAAAIAAAAPz8APwAAgAAAAAAAPC/AmUZ4lgX9xDAAvA4RUdy+RXAAAAAACAAAAD8/AD8AAIAAAAAAADwvwLAfR04Z0QbwAJz+Q/pty8TwAAAAAAYAAAA/PwA/AACAAAAAAAA8L8Cc2iR7XwfIsACO5LLf0i/CsAAAAAAGAAAAPz8APwAAgAAAAAAAPC/AigPC7WmGSXAAhQ/xty1hAnAAAAAABgAAAD8/AD8AAIAAAAAAADwvwILRiV1AlojwALFILByaJH/vwAAAAAYAAAA/PwA/AACAAAAAAAA8L8ChetRuB7lI8ACkst/SL89EsAAAAAAARcABAFlBAAAAAAAAAAABAgBZQgIAAAAAAAAAAQMAWUEAAAAAAAAAAAIEAFlBAAAAAAAAAAACBQBZQQAAAAAAAAAAAwYAWUIDAAAAAAAAAAQHAFlBAAAAAAAAAAAFCABZQgMAAAAAAAAABgkAWUEAAAAAAAAAAAcKAFlBAAAAAAAAAAAICwBZQQAAAAAAAAAACgwAWUMAAAAAAAAAAAsNAFlBAAAAAAAAAAALDgBZQQAAAAAAAAAADQ8AWUIDAAAAAAAAAA4ARABZQgAAAAAAAAAADgBEQFlBAAAAAAAAAAAPAESAWUEAAAAAAAAAAABEgETAWUEAAAAAAAAAAABEgEUAWUEAAAAAAAAAAABEgEVAWUEAAAAAAAAAAAYIAFlBAAAAAAAAAAAPAERAWUEAAAAAAAAAAAAAAAA</t>
        </r>
      </text>
    </comment>
    <comment ref="A256" authorId="0" shapeId="0" xr:uid="{0DEE67E1-7C8D-4F8D-955F-B1BBFA8950AB}">
      <text>
        <r>
          <rPr>
            <sz val="9"/>
            <color indexed="81"/>
            <rFont val="Segoe UI"/>
            <charset val="1"/>
          </rPr>
          <t>Insight iXlW00001C0000256R0080105531S00000510P01624LAocjBAQBF1NjaVRlZ2ljLmRhdGEuTW9sZWN1bGUBbwF/ARJTY2lUZWdpYy5Nb2xlY3VsZQAAAQFkAv5qAQAAAAIAAgEWAREAAAD8/AD8AAIAAAAAAADwvwAAAAAAABgAAAD8/AD8AAIAAAAAAADwvwK2FfvL7sn0vwL+1HjpJjHovwAAAAAYAAAA/PwA/AACAAAAAAAA8L8CthX7y+7J9L8CeAskKH4MAsAAAAAAGAAAAPz8APwAAgAAAAAAAPC/Au7rwDkjygTAAAAAAAAgAAAA/PwA/AACAAAAAAAA8L8AAqqCUUmdAAjAAAAAABgAAAD8/AD8AAIAAAAAAADwvwLu68A5I8oEwAKqglFJnQAIwAAAAAAYAAAA/PwA/AACAAAAAAAA8L8CyXa+nxovD8AC/tR46SYx6L8AAAAAGAAAAPz8APwAAgAAAAAAAPC/AAJxrIvbaAASwAAAAAAYAAAA/PwA/AACAAAAAAAA8L8CyXa+nxovD8ACeAskKH4MAsAAAAAAAREAAAD8/AD8AAIAAAAAAADwvwLSAN4CCcoUwAAAAAAAGAAAAPz8APwAAgAAAAAAAPC/ArYV+8vuyfQ/AhHHuriNBhXAAAAAABgAAAD8/AD8AAIAAAAAAADwvwK2FfvL7sn0vwIRx7q4jQYVwAAAAAAcAAAA/PwA/AACAAAAAAAA8L8C0gDeAgnKFMACqoJRSZ0ACMAAAAAAHAAAAPz8APwAAgAAAAAAAPC/AqLWNO84RRrAAoPix5i7FgPAAAAAABgAAAD8/AD8AAIAAAAAAADwvwJlqmBUUmcVwAJqTfOOU/QRwAAAAAAYAAAA/PwA/AACAAAAAAAA8L8CDJOpglFJHsACDeAtkKD4C8AAAAAAIAAAAPz8APwAAgAAAAAAAPC/AqCrrdhf9hDAAtUJaCJs+BXAAAAAACAAAAD8/AD8AAIAAAAAAADwvwJteHqlLEMbwAJ0tRX7yy4TwAAAAAAYAAAA/PwA/AACAAAAAAAA8L8CkQ96NqseIsAC54wo7Q2+CsAAAAAAGAAAAPz8APwAAgAAAAAAAPC/ApxVn6utGCXAAvoP6bevgwnAAAAAABgAAAD8/AD8AAIAAAAAAADwvwKbd5yiI1kjwAIBb4EExY//vwAAAAAYAAAA/PwA/AACAAAAAAAA8L8CFR3J5T/kI8ACsHJoke08EsAAAAAAARcABAFlBAAAAAAAAAAABAgBZQgIAAAAAAAAAAQMAWUEAAAAAAAAAAAIEAFlBAAAAAAAAAAACBQBZQQAAAAAAAAAAAwYAWUIDAAAAAAAAAAQHAFlBAAAAAAAAAAAFCABZQgMAAAAAAAAABgkAWUEAAAAAAAAAAAcKAFlBAAAAAAAAAAAHCwBZQQAAAAAAAAAACAwAWUEAAAAAAAAAAAwNAFlBAAAAAAAAAAAMDgBZQQAAAAAAAAAADQ8AWUIDAAAAAAAAAA4ARABZQgAAAAAAAAAADgBEQFlBAAAAAAAAAAAPAESAWUEAAAAAAAAAAABEgETAWUEAAAAAAAAAAABEgEUAWUEAAAAAAAAAAABEgEVAWUEAAAAAAAAAAAYIAFlBAAAAAAAAAAAPAERAWUEAAAAAAAAAAAAAAAA</t>
        </r>
      </text>
    </comment>
    <comment ref="A257" authorId="0" shapeId="0" xr:uid="{F509C0DF-9193-4FED-A746-C865535545F3}">
      <text>
        <r>
          <rPr>
            <sz val="9"/>
            <color indexed="81"/>
            <rFont val="Segoe UI"/>
            <charset val="1"/>
          </rPr>
          <t>Insight iXlW00001C0000257R0080105531S00000512P02128LAocjBAQBF1NjaVRlZ2ljLmRhdGEuTW9sZWN1bGUBbwF/ARJTY2lUZWdpYy5Nb2xlY3VsZQAAAQFkAv5qAQAAAAIAAgEcARAAAAD8/AD8AAIAAAAAAADwvwAAAAAAACAAAAD8/AD8AAIAAAAAAADwvwKsHFpkO9/nPwKUGARWDi31PwAAAAAgAAAA/PwA/AACAAAAAAAA8L8ClBgEVg4t9b8CqMZLN4lB6D8AAAAAHAAAAPz8APwAAgAAAAAAAPC/AisYldQJaPQ/ArByaJHtfOe/AAAAABgAAAD8/AD8AAIAAAAAAADwvwKoxks3iUHovwIrGJXUCWj0vwAAAAAYAAAA/PwA/AACAAAAAAAA8L8CKxiV1AloBEACPZtVn6utmD8AAAAAGAAAAPz8APwAAgAAAAAAAPC/ArYV+8vuSQLAAr7BFyZTBfS/AAAAABgAAAD8/AD8AAIAAAAAAADwvwI9m1Wfq62YvwIrGJXUCWgEwAAAAAAgAAAA/PwA/AACAAAAAAAA8L8C9GxWfa42BEACE/JBz2bV+D8AAAAAHAAAAPz8APwAAgAAAAAAAPC/AkCk374OnA5AAtJvXwfOGee/AAAAABgAAAD8/AD8AAIAAAAAAADwvwLfcYqO5HIIwAJdbcX+snuyPwAAAAAYAAAA/PwA/AACAAAAAAAA8L8C33GKjuRyCMAC9GxWfa42BMAAAAAAGAAAAPz8APwAAgAAAAAAAPC/An4dOGdEaem/AkCk374OnA7AAAAAABgAAAD8/AD8AAIAAAAAAADwvwIrGJXUCWgUQAJdbcX+snuiPwAAAAAgAAAA/PwA/AACAAAAAAAA8L8Cayv2l92TAsACam/whclU9j8AAAAAIAAAAPz8APwAAgAAAAAAAPC/AvVKWYY4VhLAAi3UmuYdp7g/AAAAABgAAAD8/AD8AAIAAAAAAADwvwLqlbIMcawCwAIK+aBns2oOwAAAAAAcAAAA/PwA/AACAAAAAAAA8L8CkML1KFxPFEACgnNGlPYG+T8AAAAAHAAAAPz8APwAAgAAAAAAAPC/AjZeukkMghlAAtsbfGEyVea/AAAAABgAAAD8/AD8AAIAAAAAAADwvwIK+aBns2oVwALXxW00gLf2PwAAAAAYAAAA/PwA/AACAAAAAAAA8L8Cmggbnl5pGUACayv2l92TAkAAAAAAGAAAAPz8APwAAgAAAAAAAPC/AiS5/If0mx5AAl1txf6ye7I/AAAAABgAAAD8/AD8AAIAAAAAAADwvwL/If32deATwALUmuYdp+gGQAAAAAAYAAAA/PwA/AACAAAAAAAA8L8CG8BbIEExG8ACACL99nXg/D8AAAAAGAAAAPz8APwAAgAAAAAAAPC/AqVOQBNhgx5AAoBIv30dOPk/AAAAABgAAAD8/AD8AAIAAAAAAADwvwL/snvysFAZQAI+eVioNc0OQAAAAAAYAAAA/PwA/AACAAAAAAAA8L8Cl/+QfvvaIUACAW+BBMWP5b8AAAAAIAAAAPz8APwAAgAAAAAAAPC/AhDpt68DpxnAAulILv8h/QlAAAAAAAEeAAQBZQgAAAAAAAAAAAAIAWUIAAAAAAAAAAAADAFlBAAAAAAAAAAAABABZQQAAAAAAAAAAAwUAWUEAAAAAAAAAAAQGAFlCAgAAAAAAAAAEBwBZQQAAAAAAAAAABQgAWUIAAAAAAAAAAAUJAFlBAAAAAAAAAAAGCgBZQQAAAAAAAAAABgsAWUEAAAAAAAAAAAcMAFlCAgAAAAAAAAAJDQBZQQAAAAAAAAAACg4AWUIAAAAAAAAAAAoPAFlBAAAAAAAAAAALAEQAWUICAAAAAAAAAA0AREBZQgMAAAAAAAAADQBEgFlBAAAAAAAAAAAPAETAWUEAAAAAAAAAAABEQEUAWUEAAAAAAAAAAABEgEVAWUIDAAAAAAAAAABEwEWAWUEAAAAAAAAAAABEwEXAWUEAAAAAAAAAAABFAEYAWUICAAAAAAAAAABFAEZAWUEAAAAAAAAAAABFQEaAWUEAAAAAAAAAAABFgEbAWUEAAAAAAAAAAAwARABZQQAAAAAAAAAAAEVARgBZQQAAAAAAAAAAAEXARsBZQQAAAAAAAAAAAAAAAA=</t>
        </r>
      </text>
    </comment>
    <comment ref="A258" authorId="0" shapeId="0" xr:uid="{696EEA17-AEE4-431E-8EA1-F2D9E5F8D46D}">
      <text>
        <r>
          <rPr>
            <sz val="9"/>
            <color indexed="81"/>
            <rFont val="Segoe UI"/>
            <charset val="1"/>
          </rPr>
          <t>Insight iXlW00001C0000258R0080105531S00000514P01908LAocjBAQBF1NjaVRlZ2ljLmRhdGEuTW9sZWN1bGUBbwF/ARJTY2lUZWdpYy5Nb2xlY3VsZQAAAQFkAv5qAQAAAAIAAgEZAREAAAD8/AD8AAIAAAAAAADwvwAAAAAAABgAAAD8/AD8AAIAAAAAAADwvwJFaW/whcn0PwLkg57Nqs/nvwAAAAAYAAAA/PwA/AACAAAAAAAA8L8CRWlv8IXJ9D8C+aBns+rzAcAAAAAAGAAAAPz8APwAAgAAAAAAAPC/AkVpb/CFyQRAAu0NvjCZKog/AAAAABgAAAD8/AD8AAIAAAAAAADwvwJFaW/whckEQALyQc9m1ecHwAAAAAAYAAAA/PwA/AACAAAAAAAA8L8C5x2n6EguD0ACrYvbaABv578AAAAAAREAAAD8/AD8AAIAAAAAAADwvwJFaW/whckEQAL5oGez6vMRwAAAAAAYAAAA/PwA/AACAAAAAAAA8L8C5x2n6EguD0AC6+I2GsDbAcAAAAAAGAAAAPz8APwAAgAAAAAAAPC/AkVpb/CFyRRAAu0NvjCZKpg/AAAAABwAAAD8/AD8AAIAAAAAAADwvwKWQ4ts5/sZQAJ1kxgEVg7nvwAAAAAYAAAA/PwA/AACAAAAAAAA8L8CwTkjSnvDF0ACfGEyVTAq9T8AAAAAGAAAAPz8APwAAgAAAAAAAPC/AsE5I0p7wxFAAnxhMlUwKvU/AAAAABgAAAD8/AD8AAIAAAAAAADwvwIDCYofYy4fQAJyio7k8h+iPwAAAAAYAAAA/PwA/AACAAAAAAAA8L8ClkOLbOf7GUAC3SQGgZXDAcAAAAAAIAAAAPz8APwAAgAAAAAAAPC/AgMJih9jLh9AAlR0JJf/kPg/AAAAABgAAAD8/AD8AAIAAAAAAADwvwKq8dJNYjAiQAI9m1Wfq63mvwAAAAAgAAAA/PwA/AACAAAAAAAA8L8CAwmKH2MuH0AC18VtNIC3B8AAAAAAGAAAAPz8APwAAgAAAAAAAPC/AtPe4AuTySRAAu0NvjCZKqg/AAAAABgAAAD8/AD8AAIAAAAAAADwvwKq8dJNYjAiQALPZtXnaqsBwAAAAAAYAAAA/PwA/AACAAAAAAAA8L8C+8vuycNiJ0ACJEp7gy9M5r8AAAAAGAAAAPz8APwAAgAAAAAAAPC/AtPe4AuTySRAAnDwhclUwfg/AAAAABgAAAD8/AD8AAIAAAAAAADwvwLT3uALk8kkQAKQMXctIZ8HwAAAAAAYAAAA/PwA/AACAAAAAAAA8L8CJLn8h/T7KUACih9j7lpCrj8AAAAAGAAAAPz8APwAAgAAAAAAAPC/AvvL7snDYidAAj9XW7G/bAJAAAAAABgAAAD8/AD8AAIAAAAAAADwvwIkufyH9PspQAL9GHPXEvL4PwAAAAABGwAEAWUEAAAAAAAAAAAECAFlCAwAAAAAAAAABAwBZQQAAAAAAAAAAAgQAWUEAAAAAAAAAAAMFAFlCAwAAAAAAAAAEBgBZQQAAAAAAAAAABAcAWUICAAAAAAAAAAUIAFlBAAAAAAAAAAAICQBZQQAAAAAAAAAACAoAWUEAAAAAAAAAAAgLAFlBAAAAAAAAAAAJDABZQQAAAAAAAAAACQ0AWUEAAAAAAAAAAAwOAFlCAAAAAAAAAAAMDwBZQQAAAAAAAAAADQBEAFlBAAAAAAAAAAAPAERAWUEAAAAAAAAAAA8ARIBZQgMAAAAAAAAAAERARMBZQgMAAAAAAAAAAERARQBZQQAAAAAAAAAAAESARUBZQQAAAAAAAAAAAETARYBZQQAAAAAAAAAAAEUARcBZQgIAAAAAAAAAAEWARgBZQgIAAAAAAAAABQcAWUEAAAAAAAAAAABEAESAWUEAAAAAAAAAAABFwEYAWUEAAAAAAAAAAAAAAAA</t>
        </r>
      </text>
    </comment>
    <comment ref="A259" authorId="0" shapeId="0" xr:uid="{E0BA791A-C185-483B-8C7F-76120C0B1A44}">
      <text>
        <r>
          <rPr>
            <sz val="9"/>
            <color indexed="81"/>
            <rFont val="Segoe UI"/>
            <charset val="1"/>
          </rPr>
          <t>Insight iXlW00001C0000259R0080105531S00000516P01816LAocjBAQBF1NjaVRlZ2ljLmRhdGEuTW9sZWN1bGUBbwF/ARJTY2lUZWdpYy5Nb2xlY3VsZQAAAQFkAv5qAQAAAAIAAgEYAREAAAD8/AD8AAIAAAAAAADwvwAAAAAAABgAAAD8/AD8AAIAAAAAAADwvwJ0RpT2Bl+YvwLTTWIQWDn4PwAAAAAYAAAA/PwA/AACAAAAAAAA8L8CgEi/fR049D8Cnu+nxks3AkAAAAAAGAAAAPz8APwAAgAAAAAAAPC/Aj/o2az6XPW/Aldbsb/sHgJAAAAAACAAAAD8/AD8AAIAAAAAAADwvwINcayL22gEQAJeS8gHPZv4PwAAAAAYAAAA/PwA/AACAAAAAAAA8L8C9UpZhjjW8z8CiBbZzvdTDkAAAAAAGAAAAPz8APwAAgAAAAAAAPC/Alg5tMh2vvW/AkGC4seYOw5AAAAAABgAAAD8/AD8AAIAAAAAAADwvwLaPXlYqLUOQAIrGJXUCWgCQAAAAAAYAAAA/PwA/AACAAAAAAAA8L8C6Pup8dJNsr8Ce6UsQxwrEkAAAAAAGAAAAPz8APwAAgAAAAAAAPC/Aj/o2az6XAXAAjtwzojSHhJAAAAAABgAAAD8/AD8AAIAAAAAAADwvwJTBaOSOoEUQAJ4nKIjufz4PwAAAAAYAAAA/PwA/AACAAAAAAAA8L8CTRWMSuqEDkACTRWMSuqEDkAAAAAAJAAAAPz8APwAAgAAAAAAAPC/Aj/o2az6XAXAAo25awn5IBhAAAAAACQAAAD8/AD8AAIAAAAAAADwvwJSSZ2AJsIPwAJBguLHmDsOQAAAAAAkAAAA/PwA/AACAAAAAAAA8L8CUkmdgCbCD8ACcoqO5PIfFUAAAAAAGAAAAPz8APwAAgAAAAAAAPC/ArprCfmgpxlAAvAWSFD8mAJAAAAAABgAAAD8/AD8AAIAAAAAAADwvwINcayL22gUQALkg57Nqk8SQAAAAAAgAAAA/PwA/AACAAAAAAAA8L8CINJvXwfOHkACku18PzVe+T8AAAAAGAAAAPz8APwAAgAAAAAAAPC/AnPXEvJBjxlAAto9eViotQ5AAAAAABgAAAD8/AD8AAIAAAAAAADwvwIg0m9fB84eQAKV1AloImy4PwAAAAAcAAQA/PwA/AACAAAAAAAA8L8C2j15WKi1HkACRwN4CyRoEkAAAAAAGAAAAPz8APwAAgAAAAAAAPC/AtKRXP5D+iFAAgtGJXUCmuS/AAAAACAAAAD8/AD8AAIAAAAAAADwvwIg0m9fB+4hQAJnZmZmZuYOQAAAAAAgAPwA/PwA/AACAAAAAAAA8L8Ck6mCUUmdHkACvJaQD3p2GEAAAAAAARk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BAAAAAAAAAAAPAESAWUIDAAAAAAAAAABEQETAWUEAAAAAAAAAAABEgEUAWUEAAAAAAAAAAABEwEVAWUEAAAAAAAAAAABFAEWAWUIAAAAAAAAAAABFAEXAWUEAAAAAAAAAAAYIAFlBAAAAAAAAAAAARABEgFlBAAAAAAAAAAAAAAAAA==</t>
        </r>
      </text>
    </comment>
    <comment ref="A260" authorId="0" shapeId="0" xr:uid="{65EDE03C-7D53-4B7F-9DE3-C0F85B888F5A}">
      <text>
        <r>
          <rPr>
            <sz val="9"/>
            <color indexed="81"/>
            <rFont val="Segoe UI"/>
            <charset val="1"/>
          </rPr>
          <t>Insight iXlW00001C0000260R0080105531S00000518P01200LAocjBAQBF1NjaVRlZ2ljLmRhdGEuTW9sZWN1bGUBbwF/ARJTY2lUZWdpYy5Nb2xlY3VsZQAAAQFkAv5qAQAAAAIAAgEQJAAAAPz8APwAAgAAAAAAAPC/AAAAAAAAGAAAAPz8APwAAgAAAAAAAPC/AALzH9JvXwf4vwAAAAAkAAAA/PwA/AACAAAAAAAA8L8Cbef7qfHS9L8CvsEXJlMFAsAAAAAAJAAAAPz8APwAAgAAAAAAAPC/Am3n+6nx0vS/AvMf0m9fB+i/AAAAABgAAAD8/AD8AAIAAAAAAADwvwIGgZVDi2z0PwIkKH6MuesBwAAAAAAYAAAA/PwA/AACAAAAAAAA8L8CyQc9m1Wf8z8ChJ7Nqs/VDcAAAAAAGAAAAPz8APwAAgAAAAAAAPC/AgaBlUOLbARAAoJzRpT2Bve/AAAAABgAAAD8/AD8AAIAAAAAAADwvwJnRGlv8AUEQAJBE2HD0+sRwAAAAAAYAAAA/PwA/AACAAAAAAAA8L8CikFg5dCiDkACJCh+jLlrAcAAAAAAGAAAAPz8APwAAgAAAAAAAPC/AusENBE2PA5AAuVhodY0bw3AAAAAABwAAAD8/AD8AAIAAAAAAADwvwK3Yn/ZPTkUQALx9EpZhrgRwAAAAAAYAAAA/PwA/AACAAAAAAAA8L8C+cJkqmBUGUACf/s6cM4IDcAAAAAAIAAAAPz8APwAAgAAAAAAAPC/AsWPMXctIRlAAhriWBe3UQDAAAAAABwAAAD8/AD8AAIAAAAAAADwvwI6I0p7g28eQAKi1jTvOIURwAAAAAAYAAAA/PwA/AACAAAAAAAA8L8CB/AWSFA8HkAC0pFc/kN6F8AAAAAAGAAAAPz8APwAAgAAAAAAAPC/Ar7BFyZTxSFAAuC+DpwzogzAAAAAAAEQAAQBZQQAAAAAAAAAAAQIAWUEAAAAAAAAAAAEDAFlBAAAAAAAAAAABBABZQQAAAAAAAAAABAUAWUIDAAAAAAAAAAQGAFlBAAAAAAAAAAAFBwBZQQAAAAAAAAAABggAWUICAAAAAAAAAAcJAFlCAwAAAAAAAAAJCgBZQQAAAAAAAAAACgsAWUEAAAAAAAAAAAsMAFlCAAAAAAAAAAALDQBZQQAAAAAAAAAADQ4AWUEAAAAAAAAAAA0PAFlBAAAAAAAAAAAICQBZQQAAAAAAAAAAAAAAAA=</t>
        </r>
      </text>
    </comment>
    <comment ref="A261" authorId="0" shapeId="0" xr:uid="{BE27029C-C9F6-4E5B-838A-E0F5168D52D0}">
      <text>
        <r>
          <rPr>
            <sz val="9"/>
            <color indexed="81"/>
            <rFont val="Segoe UI"/>
            <charset val="1"/>
          </rPr>
          <t>Insight iXlW00001C0000261R0080105531S00000520P01196LAocjBAQBF1NjaVRlZ2ljLmRhdGEuTW9sZWN1bGUBbwF/ARJTY2lUZWdpYy5Nb2xlY3VsZQAAAQFkAv5qAQAAAAIAAgEQAREA/AD8/AD8AAIAAAAAAADwvwAAAAAAAAERAPwA/PwA/AACAAAAAAAA8L8CHVpkO9+PIcACOdbFbTTAEUAAAAAAHAAEAPz8APwAAgAAAAAAAPC/AgwkKH6Muf+/Am+BBMWPMeu/AAAAABgAAAD8/AD8AAIAAAAAAADwvwIMJCh+jLn/vwLarPpcbcXkPwAAAAAYAAAA/PwA/AACAAAAAAAA8L8CrD5XW7E/CsACBHgLJCh++b8AAAAAGAAAAPz8APwAAgAAAAAAAPC/AoGVQ4ts5+W/AgR4CyQofvm/AAAAABgAAAD8/AD8AAIAAAAAAADwvwKsPldbsT8KwAJGtvP91Hj2PwAAAAAYAAAA/PwA/AACAAAAAAAA8L8CjErqBDRREsACb4EExY8x678AAAAAGAAAAPz8APwAAgAAAAAAAPC/AoxK6gQ0URLAAtqs+lxtxeQ/AAAAABgAAAD8/AD8AAIAAAAAAADwvwLf4AuTqYIXwAJGtvP91Hj2PwAAAAAYAAAA/PwA/AACAAAAAAAA8L8C3+ALk6mCF8ACtaZ5xyk6B0AAAAAAGAAAAPz8APwAAgAAAAAAAPC/AhaMSuoEtBzAAtqs+lxtxeQ/AAAAABgAAAD8/AD8AAIAAAAAAADwvwIWjErqBLQcwAJpAG+BBEUNQAAAAAAYAAAA/PwA/AACAAAAAAAA8L8CNBE2PL3yIMACRrbz/dR49j8AAAAAHAAEAPz8APwAAgAAAAAAAPC/AjQRNjy98iDAArWmeccpOgdAAAAAABgAAAD8/AD8AAIAAAAAAADwvwJe3EYDeIsjwAJpAG+BBEUNQAAAAAA8CAwBZQgIAAAAAAAAAAgQAWUEAAAAAAAAAAAIFAFlBAAAAAAAAAAADBgBZQQAAAAAAAAAABAcAWUICAAAAAAAAAAYIAFlCAwAAAAAAAAAICQBZQQAAAAAAAAAACQoAWUIDAAAAAAAAAAkLAFlBAAAAAAAAAAAKDABZQQAAAAAAAAAACw0AWUICAAAAAAAAAAwOAFlCAwAAAAAAAAAODwBZQQAAAAAAAAAABwgAWUEAAAAAAAAAAA0OAFlBAAAAAAAAAAAAAAAAA==</t>
        </r>
      </text>
    </comment>
    <comment ref="A262" authorId="0" shapeId="0" xr:uid="{75C691C3-BB54-4F1B-98B4-2121BFB19AF8}">
      <text>
        <r>
          <rPr>
            <sz val="9"/>
            <color indexed="81"/>
            <rFont val="Segoe UI"/>
            <charset val="1"/>
          </rPr>
          <t>Insight iXlW00001C0000262R0080105531S00000522P00980LAocjBAQBF1NjaVRlZ2ljLmRhdGEuTW9sZWN1bGUBbwF/ARJTY2lUZWdpYy5Nb2xlY3VsZQAAAQFkAv5qAQAAAAIAAjQBEAAAAPz8APwAAgAAAAAAAPC/AAAAAAAAGAAAAPz8APwAAgAAAAAAAPC/AphuEoPAyvS/Aqk1zTtO0ec/AAAAABgAAAD8/AD8AAIAAAAAAADwvwKYbhKDwMr0PwKpNc07TtHnPwAAAAAgAAAA/PwA/AACAAAAAAAA8L8CmG4Sg8DK9L8CFNBE2PD0AUAAAAAAHAAAAPz8APwAAgAAAAAAAPC/AphuEoPAygTAAu0NvjCZKoi/AAAAABgAAAD8/AD8AAIAAAAAAADwvwKYbhKDwMoEQALtDb4wmSqIvwAAAAAYAAAA/PwA/AACAAAAAAAA8L8CHHxhMlUwD8ACcT0K16Nw5z8AAAAAGAAAAPz8APwAAgAAAAAAAPC/AphuEoPAygTAAuAtkKD4Mfi/AAAAABgAAAD8/AD8AAIAAAAAAADwvwIcfGEyVTAPQAJxPQrXo3DnPwAAAAAYAAAA/PwA/AACAAAAAAAA8L8CtFn1udrKFMAC7Q2+MJkqmL8AAAAAGAAAAPz8APwAAgAAAAAAAPC/AphuEoPAyvS/AiKOdXEbDQLAAAAAABgAAAD8/AD8AAIAAAAAAADwvwJa9bnaiv0ZwAJX7C+7Jw/nPwAAAAAYAAAA/PwA/AACAAAAAAAA8L8CAJF++zowH8ACcoqO5PIfor8AAAAAMAAEAWUEAAAAAAAAAAAACAFlBAAAAAAAAAAABAwBZQgAAAAAAAAAAAQQAWUEAAAAAAAAAAAIFAFlBAAAAAAAAAAAEBgBZQQAAAAAAAAAABAcAWUEAAAAAAAAAAAUIAFlBAAAAAAAAAAAGCQBZQQAAAAAAAAAABwoAWUEAAAAAAAAAAAkLAFlBAAAAAAAAAAALDABZQQAAAAAAAAAAAAAAAA=</t>
        </r>
      </text>
    </comment>
    <comment ref="A263" authorId="0" shapeId="0" xr:uid="{8EA6F87C-BB00-40F2-A2C7-351FDA0F49C1}">
      <text>
        <r>
          <rPr>
            <sz val="9"/>
            <color indexed="81"/>
            <rFont val="Segoe UI"/>
            <charset val="1"/>
          </rPr>
          <t>Insight iXlW00001C0000263R0080105531S00000524P00796LAocjBAQBF1NjaVRlZ2ljLmRhdGEuTW9sZWN1bGUBbwF/ARJTY2lUZWdpYy5Nb2xlY3VsZQAAAQFkAv5qAQAAAAIAAiwgAAAA/PwA/AACAAAAAAAA8L8AAAAAAAAYAAAA/PwA/AACAAAAAAAA8L8Cqz5XW7G/9L8Cv58aL90k6L8AAAAAIAAAAPz8APwAAgAAAAAAAPC/Aqs+V1uxv/S/AsE5I0p7AwLAAAAAABgAAAD8/AD8AAIAAAAAAADwvwKrPldbsb8EwAAAAAAAGAAAAPz8APwAAgAAAAAAAPC/AgHeAgmKHw/AAr+fGi/dJOi/AAAAABgAAAD8/AD8AAIAAAAAAADwvwKrPldbsb8UwAAAAAAAGAAAAPz8APwAAgAAAAAAAPC/AlYOLbKd7xnAAr+fGi/dJOi/AAAAABgAAAD8/AD8AAIAAAAAAADwvwLl8h/Sbx8fwAAAAAAAGAAAAPz8APwAAgAAAAAAAPC/AkjhehSuJyLAAr+fGi/dJOi/AAAAABgAAAD8/AD8AAIAAAAAAADwvwIdyeU/pL8kwAAAAAAAGAAAAPz8APwAAgAAAAAAAPC/AvOwUGuaVyfAAr+fGi/dJOi/AAAAACgABAFlCAAAAAAAAAAABAgBZQQAAAAAAAAAAAQMAWUEAAAAAAAAAAAMEAFlBAAAAAAAAAAAEBQBZQQAAAAAAAAAABQYAWUEAAAAAAAAAAAYHAFlBAAAAAAAAAAAHCABZQQAAAAAAAAAACAkAWUEAAAAAAAAAAAkKAFlBAAAAAAAAAAAAAAAAA==</t>
        </r>
      </text>
    </comment>
    <comment ref="A264" authorId="0" shapeId="0" xr:uid="{10FE90D7-D87F-434F-9C97-85A0B937EB00}">
      <text>
        <r>
          <rPr>
            <sz val="9"/>
            <color indexed="81"/>
            <rFont val="Segoe UI"/>
            <charset val="1"/>
          </rPr>
          <t>Insight iXlW00001C0000264R0080105531S00000526P01476LAocjBAQBF1NjaVRlZ2ljLmRhdGEuTW9sZWN1bGUBbwF/ARJTY2lUZWdpYy5Nb2xlY3VsZQAAAQFkAv5qAQAAAAIAAgEUIAAAAPz8APwAAgAAAAAAAPC/AAAAAAAAHAAEAPz8APwAAgAAAAAAAPC/AAJxrIvbaAD4vwAAAAAgAPwA/PwA/AACAAAAAAAA8L8CthX7y+7J9D8CeAskKH4MAsAAAAAAGAAAAPz8APwAAgAAAAAAAPC/ArYV+8vuyfS/AngLJCh+DALAAAAAABgAAAD8/AD8AAIAAAAAAADwvwK2FfvL7sn0vwKx4emVsgwOwAAAAAAYAAAA/PwA/AACAAAAAAAA8L8CthX7y+7JBMACjSjtDb4w+L8AAAAAHAAAAPz8APwAAgAAAAAAAPC/AAJVwaikTgASwAAAAAAYAAAA/PwA/AACAAAAAAAA8L8CthX7y+7JBMACVcGopE4AEsAAAAAAGAAAAPz8APwAAgAAAAAAAPC/ApGg+DHmLg/AAobJVMGoJALAAAAAABgAAAD8/AD8AAIAAAAAAADwvwK2FfvL7skEwALtDb4wmSqIvwAAAAAYAAAA/PwA/AACAAAAAAAA8L8CArwFEhQ/9z8C/tR46SZxEMAAAAAAHAAEAPz8APwAAgAAAAAAAPC/ArYV+8vuyQTAAnGsi9toABjAAAAAABgAAAD8/AD8AAIAAAAAAADwvwKRoPgx5i4PwAKx4emVsgwOwAAAAAAYAAAA/PwA/AACAAAAAAAA8L8CthX7y+7JFMACqaROQBNh+L8AAAAAGAAAAPz8APwAAgAAAAAAAPC/Al1txf6ye/0/AjSitDf4QgXAAAAAABgAAAD8/AD8AAIAAAAAAADwvwIcDeAtkCAEQAKoV8oyxLEUwAAAAAAgAAAA/PwA/AACAAAAAAAA8L8CkaD4MeYuD8ACCmgibHj6GsAAAAAAIAD8APz8APwAAgAAAAAAAPC/ArYV+8vuyfS/AgpoImx4+hrAAAAAABgAAAD8/AD8AAIAAAAAAADwvwJ3vp8aL10KQAKGyVTBqCQCwAAAAAAYAAAA/PwA/AACAAAAAAAA8L8CHeviNhrAD0ACUWuad5wiE8AAAAAAARQABAFlCAAAAAAAAAAABAgBZQQAAAAAAAAAAAQMAWUEAAAAAAAAAAAMEAFlCAgAAAAAAAAADBQBZQQAAAAAAAAAABAYAWUEAAAAAAAAAAAQHAFlBAAAAAAAAAAAFCABZQgMAAAAAAAAABQkAWUEAAAAAAAAAAAYKAFlBAAAAAAAAAAAHCwBZQQAAAAAAAAAABwwAWUICAAAAAAAAAAgNAFlBAAAAAAAAAAAKDgBZQQAAAAAAAAAACg8AWUEAAAAAAAAAAAsARABZQgAAAAAAAAAACwBEQFlBAAAAAAAAAAAOAESAWUEAAAAAAAAAAA8ARMBZQQAAAAAAAAAACAwAWUEAAAAAAAAAAAAAAAA</t>
        </r>
      </text>
    </comment>
    <comment ref="A265" authorId="0" shapeId="0" xr:uid="{AD7CCFA2-D9DF-4558-8304-0CA38825D3DF}">
      <text>
        <r>
          <rPr>
            <sz val="9"/>
            <color indexed="81"/>
            <rFont val="Segoe UI"/>
            <charset val="1"/>
          </rPr>
          <t>Insight iXlW00001C0000265R0080105531S00000528P02384LAocjBAQBF1NjaVRlZ2ljLmRhdGEuTW9sZWN1bGUBbwF/ARJTY2lUZWdpYy5Nb2xlY3VsZQAAAQFkAv5qAQAAAAIAAgEgARAAAAD8/AD8AAIAAAAAAADwvwAAAAAAACAAAAD8/AD8AAIAAAAAAADwvwICK4cW2c7nvwJjEFg5tMj0PwAAAAAgAAAA/PwA/AACAAAAAAAA8L8CYxBYObTI9D8CAiuHFtnO5z8AAAAAHAAAAPz8APwAAgAAAAAAAPC/AjojSnuDL+g/AmMQWDm0yPS/AAAAABgAAAD8/AD8AAIAAAAAAADwvwJjEFg5tMj0vwICK4cW2c7nvwAAAAAYAAAA/PwA/AACAAAAAAAA8L8CXtxGA3gLAkACYxBYObTI9L8AAAAAGAAAAPz8APwAAgAAAAAAAPC/AmMQWDm0yPS/AlAeFmpN8wHAAAAAABgAAAD8/AD8AAIAAAAAAADwvwKb5h2n6MgEwAAAAAAAHAAAAPz8APwAAgAAAAAAAPC/Av5l9+RhIQlAAgHeAgmKHwTAAAAAABwAAAD8/AD8AAIAAAAAAADwvwL+ZffkYSEJQAJBE2HD0yu1vwAAAAAgAAAA/PwA/AACAAAAAAAA8L8AAh6n6Egu/wfAAAAAABgAAAD8/AD8AAIAAAAAAADwvwKb5h2n6MgEwAIep+hILv8HwAAAAAAYAAAA/PwA/AACAAAAAAAA8L8CzO7Jw0ItD8ACAiuHFtnO578AAAAAGAAAAPz8APwAAgAAAAAAAPC/ApvmHafoyATAAh6n6Egu//c/AAAAABwAAAD8/AD8AAIAAAAAAADwvwKAt0CC4kcSQAIAkX77OnAAwAAAAAAYAAAA/PwA/AACAAAAAAAA8L8CgLdAguJHEkACi/1l9+Rh4b8AAAAAGAAAAPz8APwAAgAAAAAAAPC/AAJXfa62Yv8RwAAAAAAYAAAA/PwA/AACAAAAAAAA8L8CzO7Jw0ItD8ACXtxGA3gLAsAAAAAAJAAAAPz8APwAAgAAAAAAAPC/AszuycNCLQ/AAlAeFmpN8wFAAAAAACQAAAD8/AD8AAIAAAAAAADwvwJjEFg5tMj0vwJQHhZqTfMBQAAAAAAkAAAA/PwA/AACAAAAAAAA8L8Cm+Ydp+jIBMACHqfoSC7/B0AAAAAAGAAAAPz8APwAAgAAAAAAAPC/ArWmeccpehdAAsBbIEHxYwbAAAAAABgAAAD8/AD8AAIAAAAAAADwvwK1pnnHKXoXQALdtYR80LPJPwAAAAAYAAAA/PwA/AACAAAAAAAA8L8CYxBYObTI9D8Ct2J/2T35FMAAAAAAIAAAAPz8APwAAgAAAAAAAPC/ArWmeccpehdAAqhXyjLEMRHAAAAAABwAAAD8/AD8AAIAAAAAAADwvwLOqs/VVqwcQAIAkX77OnAAwAAAAAAgAAAA/PwA/AACAAAAAAAA8L8CtaZ5xyl6F0AC2j15WKg1+z8AAAAAGAAAAPz8APwAAgAAAAAAAPC/As6qz9VWrBxAAsP1KFyPwuG/AAAAACQAAAD8/AD8AAIAAAAAAADwvwJjEFg5tMj0PwJ/jLlrCfkawAAAAAAkAAAA/PwA/AACAAAAAAAA8L8Cm+Ydp+jIBEACV32utmL/EcAAAAAAGAAAAPz8APwAAgAAAAAAAPC/As6qz9VWrBxAAgg9m1WfKxTAAAAAABgAAAD8/AD8AAIAAAAAAADwvwLOqs/VVqwcQAJ1kxgEVo4DQAAAAAABIgAEAWUIAAAAAAAAAAAACAFlCAAAAAAAAAAAAAwBZQQAAAAAAAAAAAAQAWUEAAAAAAAAAAAMFAFlBAAAAAAAAAAAEBgBZQgIAAAAAAAAABAcAWUEAAAAAAAAAAAUIAFlCAwAAAAAAAAAFCQBZQQAAAAAAAAAABgoAWUEAAAAAAAAAAAYLAFlBAAAAAAAAAAAHDABZQgIAAAAAAAAABw0AWUEAAAAAAAAAAAgOAFlBAAAAAAAAAAAJDwBZQgMAAAAAAAAACgBEAFlBAAAAAAAAAAALAERAWUICAAAAAAAAAA0ARIBZQQAAAAAAAAAADQBEwFlBAAAAAAAAAAANAEUAWUEAAAAAAAAAAA4ARUBZQQAAAAAAAAAADwBFgFlBAAAAAAAAAAAARABFwFlBAAAAAAAAAAAARUBGAFlBAAAAAAAAAAAARUBGQFlCAgAAAAAAAAAARYBGgFlBAAAAAAAAAAAARYBGwFlCAgAAAAAAAAAARcBHAFlBAAAAAAAAAAAARcBHQFlBAAAAAAAAAAAARgBHgFlBAAAAAAAAAAAARoBHwFlBAAAAAAAAAAAMAERAWUEAAAAAAAAAAA4PAFlBAAAAAAAAAAAARkBGwFlBAAAAAAAAAAAAAAAAA==</t>
        </r>
      </text>
    </comment>
    <comment ref="A266" authorId="0" shapeId="0" xr:uid="{C94E62FA-802A-4BA2-81DD-5C25B3D3646D}">
      <text>
        <r>
          <rPr>
            <sz val="9"/>
            <color indexed="81"/>
            <rFont val="Segoe UI"/>
            <charset val="1"/>
          </rPr>
          <t>Insight iXlW00001C0000266R0080105531S00000530P01212LAocjBAQBF1NjaVRlZ2ljLmRhdGEuTW9sZWN1bGUBbwF/ARJTY2lUZWdpYy5Nb2xlY3VsZQAAAQFkAv5qAQAAAAIAAgEQAREAAAD8/AD8AAIAAAAAAADwvwAAAAAAABgAAAD8/AD8AAIAAAAAAADwvwKb5h2n6Ej0PwK62or9ZffoPwAAAAAYAAAA/PwA/AACAAAAAAAA8L8C+1xtxf6y8z8C4zYawFugAkAAAAAAGAAAAPz8APwAAgAAAAAAAPC/AmMQWDm0SARAAgU0ETY8vaI/AAAAABgAAAD8/AD8AAIAAAAAAADwvwKSy39Iv/0DQAJZF7fRAN4IQAAAAAAYAAAA/PwA/AACAAAAAAAA8L8C9wZfmEwVvL8CWRe30QDeCEAAAAAAGAAAAPz8APwAAgAAAAAAAPC/ArAD54wobQ5AAhmV1AloIuo/AAAAABgAAAD8/AD8AAIAAAAAAADwvwLgvg6cMyIOQAKze/KwUOsCQAAAAAAcAAAA/PwA/AACAAAAAAAA8L8CYxBYObRIFEAC9GxWfa62sj8AAAAAGAAAAPz8APwAAgAAAAAAAPC/AgmKH2PuWhlAAlmoNc07Tus/AAAAACAAAAD8/AD8AAIAAAAAAADwvwKhZ7PqczUZQAJL6gQ0ETYDQAAAAAAYDAAA/PwA/AACAAAAAAAA8L8CsAPnjChtHkAC9wZfmEwVvD8AAAAAGAAAAPz8APwAAgAAAAAAAPC/Ah3J5T+kvyFAApm7lpAPeuw/AAAAABgAAAD8/AD8AAIAAAAAAADwvwKwA+eMKG0eQAIL16NwPQr2vwAAAAAYAAAA/PwA/AACAAAAAAAA8L8CaZHtfD9VJEACfdCzWfW5wj8AAAAAGAAAAPz8APwAAgAAAAAAAPC/Aibkg57N6iZAAjcawFsgQe0/AAAAAAEQAAQBZQQAAAAAAAAAAAQIAWUIDAAAAAAAAAAEDAFlBAAAAAAAAAAACBABZQQAAAAAAAAAAAgUAWUEAAAAAAAAAAAMGAFlCAwAAAAAAAAAEBwBZQgIAAAAAAAAABggAWUEAAAAAAAAAAAgJAFlBAAAAAAAAAAAJCgBZQgAAAAAAAAAACQsAWUEAAAAAAAAAAAsMAFlBAAAAAAAAAAALDQBZQQUAAAAAAAAADA4AWUEAAAAAAAAAAA4PAFlBAAAAAAAAAAAGBwBZQQAAAAAAAAAAAAAAAA=</t>
        </r>
      </text>
    </comment>
    <comment ref="A267" authorId="0" shapeId="0" xr:uid="{A6617324-EBD1-4FF0-9504-B111D9D8C58F}">
      <text>
        <r>
          <rPr>
            <sz val="9"/>
            <color indexed="81"/>
            <rFont val="Segoe UI"/>
            <charset val="1"/>
          </rPr>
          <t>Insight iXlW00001C0000267R0080105531S00000532P01788LAocjBAQBF1NjaVRlZ2ljLmRhdGEuTW9sZWN1bGUBbwF/ARJTY2lUZWdpYy5Nb2xlY3VsZQAAAQFkAv5qAQAAAAIAAgEYAREAAAD8/AD8AAIAAAAAAADwvwAAAAAAABgAAAD8/AD8AAIAAAAAAADwvwItsp3vp8b0vwKUGARWDi3ovwAAAAAYAAAA/PwA/AACAAAAAAAA8L8CLbKd76fG9L8CYVRSJ6AJAsAAAAAAGAAAAPz8APwAAgAAAAAAAPC/Ai2yne+nxgTAAAAAAAAgAAAA/PwA/AACAAAAAAAA8L8AAoZa07zjFAjAAAAAABgAAAD8/AD8AAIAAAAAAADwvwItsp3vp8YEwAJ4nKIjufwHwAAAAAAYAAAA/PwA/AACAAAAAAAA8L8CRIts5/spD8ACXCBB8WPM578AAAAAGAAAAPz8APwAAgAAAAAAAPC/AAJFaW/whQkSwAAAAAAYAAAA/PwA/AACAAAAAAAA8L8CRIts5/spD8ACU5YhjnXxAcAAAAAAJAAAAPz8APwAAgAAAAAAAPC/Ai2yne+nxhTAAAAAAAAYAAAA/PwA/AACAAAAAAAA8L8Cak3zjlN08z8CwOyePCyUFcAAAAAAGAAAAPz8APwAAgAAAAAAAPC/AmpN845TdPO/AsDsnjwslBXAAAAAABwAAAD8/AD8AAIAAAAAAADwvwItsp3vp8YUwAJ4nKIjufwHwAAAAAAYAAAA/PwA/AACAAAAAAAA8L8ClBgEVg4t6D8CmG4Sg8BKG8AAAAAAGAAAAPz8APwAAgAAAAAAAPC/ApQYBFYOLei/AphuEoPAShvAAAAAABgAAAD8/AD8AAIAAAAAAADwvwKkcD0K12MVwAI3qz5XW/ERwAAAAAAYAAAA/PwA/AACAAAAAAAA8L8C4lgXt9FAGsAC+n5qvHQTA8AAAAAAIAAAAPz8APwAAgAAAAAAAPC/Aoj029eB8xDAAvjkYaHW9BXAAAAAACAAAAD8/AD8AAIAAAAAAADwvwKRD3o2qz4bwAIkKH6MuSsTwAAAAAAgAAAA/PwA/AACAAAAAAAA8L8C0NVW7C97G8ACggTFjzF37b8AAAAAGAAAAPz8APwAAgAAAAAAAPC/AqOSOgFNRB7AAvmgZ7Pq8wvAAAAAABgAAAD8/AD8AAIAAAAAAADwvwJdbcX+shsiwAJE+u3rwLkKwAAAAAAYAAAA/PwA/AACAAAAAAAA8L8CjblrCfngI8ACfdCzWfU5EsAAAAAAGAAAAPz8APwAAgAAAAAAAPC/Ai//If32VSPAArRZ9bnaiv+/AAAAAAEaAAQBZQQAAAAAAAAAAAQIAWUICAAAAAAAAAAEDAFlBAAAAAAAAAAACBABZQQAAAAAAAAAAAgUAWUEAAAAAAAAAAAMGAFlCAwAAAAAAAAAEBwBZQQAAAAAAAAAABQgAWUIDAAAAAAAAAAYJAFlBAAAAAAAAAAAHCgBZQQAAAAAAAAAABwsAWUEAAAAAAAAAAAgMAFlBAAAAAAAAAAAKDQBZQQAAAAAAAAAACw4AWUEAAAAAAAAAAAwPAFlBAAAAAAAAAAAMAEQAWUEAAAAAAAAAAA8AREBZQgAAAAAAAAAADwBEgFlBAAAAAAAAAAAARABEwFlCAAAAAAAAAAAARABFAFlBAAAAAAAAAAAARQBFQFlCAwAAAAAAAAAARUBFgFlBAAAAAAAAAAAARUBFwFlBAAAAAAAAAAAGCABZQQAAAAAAAAAADQ4AWUEAAAAAAAAAAABEgEUAWUEAAAAAAAAAAAAAAAA</t>
        </r>
      </text>
    </comment>
    <comment ref="A268" authorId="0" shapeId="0" xr:uid="{CBE91CF7-FB9A-4173-80D0-C29F062075E6}">
      <text>
        <r>
          <rPr>
            <sz val="9"/>
            <color indexed="81"/>
            <rFont val="Segoe UI"/>
            <charset val="1"/>
          </rPr>
          <t>Insight iXlW00001C0000268R0080105531S00000534P01816LAocjBAQBF1NjaVRlZ2ljLmRhdGEuTW9sZWN1bGUBbwF/ARJTY2lUZWdpYy5Nb2xlY3VsZQAAAQFkAv5qAQAAAAIAAgEYARAAAAD8/AD8AAIAAAAAAADwvwAAAAAAACAAAAD8/AD8AAIAAAAAAADwvwJ0RpT2Bl+IvwIa4lgXt9H3vwAAAAAgAAAA/PwA/AACAAAAAAAA8L8CdEaU9gZfiL8CNDMzMzMz+D8AAAAAGAAAAPz8APwAAgAAAAAAAPC/AjQzMzMzM/i/AnRGlPYGX4g/AAAAABgAAAD8/AD8AAIAAAAAAADwvwIa4lgXt9H3PwJ0RpT2Bl+IPwAAAAAYAAAA/PwA/AACAAAAAAAA8L8CwoanV8oyAsAC9P3UeOkm9T8AAAAAGAAAAPz8APwAAgAAAAAAAPC/AsKGp1fKMgLAAk+vlGWIY/S/AAAAABgAAAD8/AD8AAIAAAAAAADwvwJwXwfOGdEBQAL0/dR46Sb1PwAAAAAYAAAA/PwA/AACAAAAAAAA8L8CcF8HzhnRAUACT6+UZYhj9L8AAAAAGAAAAPz8APwAAgAAAAAAAPC/AlwgQfFjTA7AAoEmwoanV/U/AAAAABgAAAD8/AD8AAIAAAAAAADwvwJcIEHxY0wOwALChqdXyjL0vwAAAAAYAAAA/PwA/AACAAAAAAAA8L8CfdCzWfW5DUACgSbChqdX9T8AAAAAGAAAAPz8APwAAgAAAAAAAPC/An3Qs1n1uQ1AAsKGp1fKMvS/AAAAABgAAAD8/AD8AAIAAAAAAADwvwKmm8QgsDISwAJ0RpT2Bl+oPwAAAAAYAAAA/PwA/AACAAAAAAAA8L8CppvEILAyEsAC9P3UeOkmBUAAAAAAGAAAAPz8APwAAgAAAAAAAPC/AnBfB84Z0RFAAnRGlPYGX6g/AAAAABwAAAD8/AD8AAIAAAAAAADwvwJzaJHtfD8YwAIRWDm0yHauPwAAAAABEAAAAPz8APwAAgAAAAAAAPC/AsgpOpLLPxvAAhwN4C2QoPO/AAAAACAAAAD8/AD8AAIAAAAAAADwvwKRD3o2qz4gwALufD81XrrdvwAAAAAgAAAA/PwA/AACAAAAAAAA8L8C0bNZ9bkaFsAC4umVsgxx/78AAAAAGAAAAPz8APwAAgAAAAAAAPC/AjnWxW00QB7AAnzysFBrGgTAAAAAACQAAAD8/AD8AAIAAAAAAADwvwImdQKaCBsZwALf4AuTqQIKwAAAAAAkAAAA/PwA/AACAAAAAAAA8L8C2PD0SlmmIMACo7Q3+MJkDsAAAAAAJAAAAPz8APwAAgAAAAAAAPC/AjtwzojSviHAAhi30QDeAvy/AAAAAAEZAAQBZQgAAAAAAAAAAAAIAWUIAAAAAAAAAAAADAFlBAAAAAAAAAAAABABZQQAAAAAAAAAAAwUAWUIDAAAAAAAAAAMGAFlBAAAAAAAAAAAEBwBZQgMAAAAAAAAABAgAWUEAAAAAAAAAAAUJAFlBAAAAAAAAAAAGCgBZQgIAAAAAAAAABwsAWUEAAAAAAAAAAAgMAFlCAgAAAAAAAAAJDQBZQgMAAAAAAAAACQ4AWUEAAAAAAAAAAAsPAFlCAgAAAAAAAAANAEQAWUEAAAAAAAAAAABEAERAWUEAAAAAAAAAAABEQESAWUIAAAAAAAAAAABEQETAWUIAAAAAAAAAAABEQEUAWUEAAAAAAAAAAABFAEVAWUEAAAAAAAAAAABFAEWAWUEAAAAAAAAAAABFAEXAWUEAAAAAAAAAAAoNAFlBAAAAAAAAAAAMDwBZQQAAAAAAAAAAAAAAAA=</t>
        </r>
      </text>
    </comment>
    <comment ref="A269" authorId="0" shapeId="0" xr:uid="{387FA090-A885-4BD4-B898-0AAE6627F275}">
      <text>
        <r>
          <rPr>
            <sz val="9"/>
            <color indexed="81"/>
            <rFont val="Segoe UI"/>
            <charset val="1"/>
          </rPr>
          <t>Insight iXlW00001C0000269R0080105531S00000536P01492LAocjBAQBF1NjaVRlZ2ljLmRhdGEuTW9sZWN1bGUBbwF/ARJTY2lUZWdpYy5Nb2xlY3VsZQAAAQFkAv5qAQAAAAIAAgEUAREAAAD8/AD8AAIAAAAAAADwvwAAAAAAABgAAAD8/AD8AAIAAAAAAADwvwKvJeSDns30vwJPQBNhw9PnvwAAAAAYAAAA/PwA/AACAAAAAAAA8L8Cd08eFmrNBMAAAAAAACAAAAD8/AD8AAIAAAAAAADwvwJ3Tx4Was0EwALcaABvgQT4PwAAAAAcAAAA/PwA/AACAAAAAAAA8L8CTmIQWDk0D8ACaZHtfD816L8AAAAAGAAAAPz8APwAAgAAAAAAAPC/AndPHhZqzRTAAu0NvjCZKoi/AAAAABgAAAD8/AD8AAIAAAAAAADwvwJOYhBYOTQPwAKQwvUoXA8CwAAAAAAYAAAA/PwA/AACAAAAAAAA8L8Cd08eFmrNFMACwOyePCzU9z8AAAAAGAAAAPz8APwAAgAAAAAAAPC/AuJYF7fRABrAAmmR7Xw/Nei/AAAAABgAAAD8/AD8AAIAAAAAAADwvwJ3Tx4Was0EwALqJjEIrBwIwAAAAAAYAAAA/PwA/AACAAAAAAAA8L8C4lgXt9EAGsACdEaU9gbfAUAAAAAAGAAAAPz8APwAAgAAAAAAAPC/Ak5iEFg5NA/AAnRGlPYG3wFAAAAAABgAAAD8/AD8AAIAAAAAAADwvwLiWBe30QAawAKQwvUoXA8CwAAAAAAYAAAA/PwA/AACAAAAAAAA8L8CMnctIR80H8AC7Q2+MJkqiL8AAAAAIAAAAPz8APwAAgAAAAAAAPC/AndPHhZqzQTAAqyt2F92DxLAAAAAABgAAAD8/AD8AAIAAAAAAADwvwLiWBe30QAawALiehSuR+ENQAAAAAAYAAAA/PwA/AACAAAAAAAA8L8CTmIQWDk0D8AC4noUrkfhDUAAAAAAGAAAAPz8APwAAgAAAAAAAPC/Aq8l5IOezfS/ArYV+8vuCRXAAAAAABgAAAD8/AD8AAIAAAAAAADwvwJ3Tx4Was0UwAJ7pSxDHOsRQAAAAAAYAAAA/PwA/AACAAAAAAAA8L8CryXkg57N9L8C7S+7Jw8LG8AAAAAAARQABAFlBAAAAAAAAAAABAgBZQQAAAAAAAAAAAgMAWUIAAAAAAAAAAAIEAFlBAAAAAAAAAAAEBQBZQQAAAAAAAAAABAYAWUEAAAAAAAAAAAUHAFlBAAAAAAAAAAAFCABZQgIAAAAAAAAABgkAWUEAAAAAAAAAAAcKAFlCAwAAAAAAAAAHCwBZQQAAAAAAAAAACAwAWUEAAAAAAAAAAAgNAFlBAAAAAAAAAAAJDgBZQQAAAAAAAAAACg8AWUEAAAAAAAAAAAsARABZQgIAAAAAAAAADgBEQFlBAAAAAAAAAAAPAESAWUICAAAAAAAAAABEQETAWUEAAAAAAAAAAABEAESAWUEAAAAAAAAAAAAAAAA</t>
        </r>
      </text>
    </comment>
    <comment ref="A270" authorId="0" shapeId="0" xr:uid="{3AD11997-5858-4122-A3F7-2ACE37765BDC}">
      <text>
        <r>
          <rPr>
            <sz val="9"/>
            <color indexed="81"/>
            <rFont val="Segoe UI"/>
            <charset val="1"/>
          </rPr>
          <t>Insight iXlW00001C0000270R0080105531S00000538P01888LAocjBAQBF1NjaVRlZ2ljLmRhdGEuTW9sZWN1bGUBbwF/ARJTY2lUZWdpYy5Nb2xlY3VsZQAAAQFkAv5qAQAAAAIAAgEZIAAAAPz8APwAAgAAAAAAAPC/AAAAAAAAGAAAAPz8APwAAgAAAAAAAPC/Avp+arx0k5i/Ao25awn5oPe/AAAAACAAAAD8/AD8AAIAAAAAAADwvwJDPujZrPrzPwKi1jTvOMUBwAAAAAAcAAAA/PwA/AACAAAAAAAA8L8Co5I6AU2E9b8CotY07zjFAcAAAAAAGAAAAPz8APwAAgAAAAAAAPC/AkETYcPTKwRAApEPejarPve/AAAAABgAAAD8/AD8AAIAAAAAAADwvwJt5/up8VIFwAKRD3o2qz73vwAAAAAYAAAA/PwA/AACAAAAAAAA8L8CoWez6nO19b8CZohjXdzGDcAAAAAAGAAAAPz8APwAAgAAAAAAAPC/AmAHzhlRWg5AAmsr9pfdkwHAAAAAABgAAAD8/AD8AAIAAAAAAADwvwJDPujZrPoDQAI830+Nl26yPwAAAAAYAAAA/PwA/AACAAAAAAAA8L8Ca7x0kxiEBcACPN9PjZdusj8AAAAAGAAAAPz8APwAAgAAAAAAAPC/AsFbIEHx4w/AAuzAOSNKewHAAAAAABgAAAD8/AD8AAIAAAAAAADwvwLufD81XjoFwAJEi2zn++kRwAAAAAAYAAAA/PwA/AACAAAAAAAA8L8C3GgAb4FEFEAClWWIY13c9r8AAAAAGAAAAPz8APwAAgAAAAAAAPC/AmIyVTAqKQ5AAkw3iUFg5eo/AAAAABgAAAD8/AD8AAIAAAAAAADwvwJfmEwVjAoQwAJMN4lBYOXqPwAAAAAYAAAA/PwA/AACAAAAAAAA8L8C7nw/NV46FcACl5APejar9r8AAAAAHAAAAPz8APwAAgAAAAAAAPC/AuviNhrAWxlAAm1Wfa62YgHAAAAAABgAAAD8/AD8AAIAAAAAAADwvwJd/kP67SsUQAILRiV1Apq4PwAAAAAYAAAA/PwA/AACAAAAAAAA8L8Cbef7qfFSFcACC0YldQKauD8AAAAAGAAAAPz8APwAAgAAAAAAAPC/AvtcbcX+ch5AApm7lpAPeva/AAAAACAAAAD8/AD8AAIAAAAAAADwvwJ88rBQa1oeQALK5T+k376+PwAAAAAgAAAA/PwA/AACAAAAAAAA8L8ChetRuB7FIUACb4EExY8xAcAAAAAAGAAAAPz8APwAAgAAAAAAAPC/Ao0o7Q2+UCRAAp0Rpb3BF/a/AAAAABgAAAD8/AD8AAIAAAAAAADwvwIj2/l+atwmQAJxrIvbaAABwAAAAAAYAAAA/PwA/AACAAAAAAAA8L8C7Q2+MJlKJEACyuU/pN++vj8AAAAAARoABAFlCAAAAAAAAAAABAgBZQQAAAAAAAAAAAQMAWUEAAAAAAAAAAAIEAFlBAAAAAAAAAAADBQBZQQAAAAAAAAAAAwYAWUEAAAAAAAAAAAQHAFlCAwAAAAAAAAAECABZQQAAAAAAAAAABQkAWUIDAAAAAAAAAAUKAFlBAAAAAAAAAAAGCwBZQQAAAAAAAAAABwwAWUEAAAAAAAAAAAgNAFlCAgAAAAAAAAAJDgBZQQAAAAAAAAAACg8AWUICAAAAAAAAAAwARABZQQAAAAAAAAAADABEQFlCAgAAAAAAAAAOAESAWUICAAAAAAAAAABEAETAWUEAAAAAAAAAAABEwEUAWUIAAAAAAAAAAABEwEVAWUEAAAAAAAAAAABFQEWAWUEAAAAAAAAAAABFgEXAWUEAAAAAAAAAAABFgEYAWUEAAAAAAAAAAA0AREBZQQAAAAAAAAAADwBEgFlBAAAAAAAAAAAAAAAAA==</t>
        </r>
      </text>
    </comment>
    <comment ref="A271" authorId="0" shapeId="0" xr:uid="{0158BC73-2ACD-4D71-A1A8-BE2E1F762D4C}">
      <text>
        <r>
          <rPr>
            <sz val="9"/>
            <color indexed="81"/>
            <rFont val="Segoe UI"/>
            <charset val="1"/>
          </rPr>
          <t>Insight iXlW00001C0000271R0080105531S00000540P01624LAocjBAQBF1NjaVRlZ2ljLmRhdGEuTW9sZWN1bGUBbwF/ARJTY2lUZWdpYy5Nb2xlY3VsZQAAAQFkAv5qAQAAAAIAAgEWIAAAAPz8APwAAgAAAAAAAPC/AAAAAAAAGAAAAPz8APwAAgAAAAAAAPC/AAJrvHSTGAT4vwAAAAAgAAAA/PwA/AACAAAAAAAA8L8CPnlYqDXN9D8CSS7/If32AcAAAAAAHAAAAPz8APwAAgAAAAAAAPC/Aj55WKg1zfS/Akku/yH99gHAAAAAABgAAAD8/AD8AAIAAAAAAADwvwI+eVioNc0EQAJrvHSTGAT4vwAAAAAYAAAA/PwA/AACAAAAAAAA8L8CPnlYqDXNBMACa7x0kxgE+L8AAAAAGAAAAPz8APwAAgAAAAAAAPC/At21hHzQMw9AApDC9ShcDwLAAAAAABgAAAD8/AD8AAIAAAAAAADwvwI+eVioNc0EQAAAAAAAGAAAAPz8APwAAgAAAAAAAPC/At21hHzQMw/AAkku/yH99gHAAAAAABgAAAD8/AD8AAIAAAAAAADwvwI+eVioNc0EwAAAAAAAGAAAAPz8APwAAgAAAAAAAPC/Aj55WKg1zRRAAvjkYaHWNPi/AAAAABgAAAD8/AD8AAIAAAAAAADwvwLdtYR80DMPQAJPQBNhw9PnPwAAAAAYAAAA/PwA/AACAAAAAAAA8L8CPnlYqDXNFMACa7x0kxgE+L8AAAAAGAAAAPz8APwAAgAAAAAAAPC/At21hHzQMw/AAk9AE2HD0+c/AAAAABwAAAD8/AD8AAIAAAAAAADwvwKqglFJnQAaQAKegCbChicCwAAAAAAYAAAA/PwA/AACAAAAAAAA8L8CPnlYqDXNFEAC7Q2+MJkqiL8AAAAAGAAAAPz8APwAAgAAAAAAAPC/Aj55WKg1zRTAAAAAAAAYAAAA/PwA/AACAAAAAAAA8L8CqoJRSZ0AGsACSS7/If32AcAAAAAAGAAAAPz8APwAAgAAAAAAAPC/AvmgZ7PqMx9AAhRhw9MrZfi/AAAAACAAAAD8/AD8AAIAAAAAAADwvwL5oGez6jMfQALtDb4wmSqYvwAAAAAgAAAA/PwA/AACAAAAAAAA8L8CpN++DpwzIkACqz5XW7E/AsAAAAAAGAAAAPz8APwAAgAAAAAAAPC/AszuycNCzSRAAi/dJAaBlfi/AAAAAAEXAAQBZQgAAAAAAAAAAAQIAWUEAAAAAAAAAAAEDAFlBAAAAAAAAAAACBABZQQAAAAAAAAAAAwUAWUEAAAAAAAAAAAQGAFlCAwAAAAAAAAAEBwBZQQAAAAAAAAAABQgAWUIDAAAAAAAAAAUJAFlBAAAAAAAAAAAGCgBZQQAAAAAAAAAABwsAWUICAAAAAAAAAAgMAFlBAAAAAAAAAAAJDQBZQgIAAAAAAAAACg4AWUEAAAAAAAAAAAoPAFlCAgAAAAAAAAAMAEQAWUICAAAAAAAAAAwAREBZQQAAAAAAAAAADgBEgFlBAAAAAAAAAAAARIBEwFlCAAAAAAAAAAAARIBFAFlBAAAAAAAAAAAARQBFQFlBAAAAAAAAAAALDwBZQQAAAAAAAAAADQBEAFlBAAAAAAAAAAAAAAAAA==</t>
        </r>
      </text>
    </comment>
    <comment ref="A272" authorId="0" shapeId="0" xr:uid="{1467EE06-1DC6-4818-B421-34BC1CE97016}">
      <text>
        <r>
          <rPr>
            <sz val="9"/>
            <color indexed="81"/>
            <rFont val="Segoe UI"/>
            <charset val="1"/>
          </rPr>
          <t>Insight iXlW00001C0000272R0080105531S00000542P00968LAocjBAQBF1NjaVRlZ2ljLmRhdGEuTW9sZWN1bGUBbwF/ARJTY2lUZWdpYy5Nb2xlY3VsZQAAAQFkAv5qAQAAAAIAAjQBEQAAAPz8APwAAgAAAAAAAPC/AAAAAAAAGAAAAPz8APwAAgAAAAAAAPC/AsfctYR80PQ/Arn8h/Tb1+c/AAAAABwAAAD8/AD8AAIAAAAAAADwvwLH3LWEfNAEQAAAAAAAGAAAAPz8APwAAgAAAAAAAPC/AsfctYR80PQ/AmDl0CLb+QFAAAAAABgAAAD8/AD8AAIAAAAAAADwvwIqyxDHujgPQAK5/If029fnPwAAAAABEQAAAPz8APwAAgAAAAAAAPC/AAJWDi2yne8HQAAAAAAYAAAA/PwA/AACAAAAAAAA8L8Cx9y1hHzQBEACVg4tsp3vB0AAAAAAGAAAAPz8APwAAgAAAAAAAPC/AirLEMe6OA9AAmDl0CLb+QFAAAAAABgAAAD8/AD8AAIAAAAAAADwvwLH3LWEfNAUQAAAAAAAHAAAAPz8APwAAgAAAAAAAPC/AsfctYR80ARAAmDl0CLb+RFAAAAAAAERAAAA/PwA/AACAAAAAAAA8L8Cx9y1hHzQFEACVg4tsp3vB0AAAAAAIAAAAPz8APwAAgAAAAAAAPC/AtxoAG+BBBpAArn8h/Tb1+c/AAAAACAAAAD8/AD8AAIAAAAAAADwvwLH3LWEfNAUQAJkzF1LyAf4vwAAAAA0AAQBZQQAAAAAAAAAAAQIAWUIDAAAAAAAAAAEDAFlBAAAAAAAAAAACBABZQQAAAAAAAAAAAwUAWUEAAAAAAAAAAAMGAFlCAwAAAAAAAAAEBwBZQgMAAAAAAAAABAgAWUEAAAAAAAAAAAYJAFlBAAAAAAAAAAAHCgBZQQAAAAAAAAAACAsAWUIAAAAAAAAAAAgMAFlBAAAAAAAAAAAGBwBZQQAAAAAAAAAAAAAAAA=</t>
        </r>
      </text>
    </comment>
    <comment ref="A273" authorId="0" shapeId="0" xr:uid="{99BCA2E1-8385-4FAD-A5F1-07D2E084487D}">
      <text>
        <r>
          <rPr>
            <sz val="9"/>
            <color indexed="81"/>
            <rFont val="Segoe UI"/>
            <charset val="1"/>
          </rPr>
          <t>Insight iXlW00001C0000273R0080105531S00000544P02052LAocjBAQBF1NjaVRlZ2ljLmRhdGEuTW9sZWN1bGUBbwF/ARJTY2lUZWdpYy5Nb2xlY3VsZQAAAQFkAv5qAQAAAAIAAgEbJAAAAPz8APwAAgAAAAAAAPC/AAAAAAAAGAAAAPz8APwAAgAAAAAAAPC/AmMQWDm0yPS/AjojSnuDL+i/AAAAABgAAAD8/AD8AAIAAAAAAADwvwJjEFg5tMgEwALtDb4wmSqIvwAAAAAYAAAA/PwA/AACAAAAAAAA8L8CYxBYObTI9L8CXtxGA3gLAsAAAAAAGAAAAPz8APwAAgAAAAAAAPC/AszuycNCLQ/AAnIbDeAtkOi/AAAAABgAAAD8/AD8AAIAAAAAAADwvwJjEFg5tMgEwAIsZRniWBcIwAAAAAAYAAAA/PwA/AACAAAAAAAA8L8CzO7Jw0ItD8ACbJp3nKIjAsAAAAAAHAAAAPz8APwAAgAAAAAAAPC/An/7OnDOyBTAAjojSnuDLwjAAAAAABgAAAD8/AD8AAIAAAAAAADwvwJ/+zpwzsgUwAJlO99PjRcSwAAAAAAgAAAA/PwA/AACAAAAAAAA8L8CzO7Jw0ItD8ACxSCwcmgRFcAAAAAAGAAAAPz8APwAAgAAAAAAAPC/Apf/kH77+hnAAsx/SL99HRXAAAAAABwAAAD8/AD8AAIAAAAAAADwvwKwA+eMKC0fwAJsmnecoiMSwAAAAAAYAAAA/PwA/AACAAAAAAAA8L8Cl/+Qfvv6GcACd76fGi8dG8AAAAAAGAAAAPz8APwAAgAAAAAAAPC/AnP5D+m3LyLAAtPe4AuTKRXAAAAAABgAAAD8/AD8AAIAAAAAAADwvwKwA+eMKC0fwALeAgmKHyMewAAAAAAgAAAA/PwA/AACAAAAAAAA8L8Cf/s6cM7IJMACc/kP6bcvEsAAAAAAGAAAAPz8APwAAgAAAAAAAPC/AnP5D+m3LyLAApoIG55eKRvAAAAAABgAAAD8/AD8AAIAAAAAAADwvwKL/WX35GEnwALaPXlYqDUVwAAAAAAYAAAA/PwA/AACAAAAAAAA8L8Cl/+Qfvv6KcACeVioNc07EsAAAAAAGAAAAPz8APwAAgAAAAAAAPC/Aov9ZffkYSfAAqFns+pzNRvAAAAAABgAAAD8/AD8AAIAAAAAAADwvwIydy0hH5QswALhnBGlvUEVwAAAAAAYAAAA/PwA/AACAAAAAAAA8L8Cl/+Qfvv6KcACCawcWmQ7HsAAAAAAGAAAAPz8APwAAgAAAAAAAPC/AjJ3LSEflCzAAqjGSzeJQRvAAAAAABgAAAD8/AD8AAIAAAAAAADwvwI+eVioNS0vwAKAt0CC4kcSwAAAAAAkAAAA/PwA/AACAAAAAAAA8L8Cpb3BFybjMMAC6Pup8dJNFcAAAAAAJAAAAPz8APwAAgAAAAAAAPC/Aj55WKg1LS/AAnIbDeAtkAjAAAAAACQAAAD8/AD8AAIAAAAAAADwvwKlvcEXJuMwwAJApN++DpwOwAAAAAABHQAEAWUEAAAAAAAAAAAECAFlCAwAAAAAAAAABAwBZQQAAAAAAAAAAAgQAWUEAAAAAAAAAAAMFAFlCAgAAAAAAAAAEBgBZQgMAAAAAAAAABgcAWUEAAAAAAAAAAAcIAFlBAAAAAAAAAAAICQBZQgAAAAAAAAAACAoAWUEAAAAAAAAAAAoLAFlCAwAAAAAAAAAKDABZQQAAAAAAAAAACw0AWUEAAAAAAAAAAAwOAFlCAgAAAAAAAAANDwBZQQAAAAAAAAAADQBEAFlCAgAAAAAAAAAPAERAWUEAAAAAAAAAAABEQESAWUIDAAAAAAAAAABEQETAWUEAAAAAAAAAAABEgEUAWUEAAAAAAAAAAABEwEVAWUICAAAAAAAAAABFAEWAWUICAAAAAAAAAABFAEXAWUEAAAAAAAAAAABFwEYAWUEAAAAAAAAAAABFwEZAWUEAAAAAAAAAAABFwEaAWUEAAAAAAAAAAAUGAFlBAAAAAAAAAAAOAEQAWUEAAAAAAAAAAABFQEWAWUEAAAAAAAAAAAAAAAA</t>
        </r>
      </text>
    </comment>
    <comment ref="A274" authorId="0" shapeId="0" xr:uid="{C2E6A3CF-7C33-471A-A028-069FA765E472}">
      <text>
        <r>
          <rPr>
            <sz val="9"/>
            <color indexed="81"/>
            <rFont val="Segoe UI"/>
            <charset val="1"/>
          </rPr>
          <t>Insight iXlW00001C0000274R0080105531S00000546P02196LAocjBAQBF1NjaVRlZ2ljLmRhdGEuTW9sZWN1bGUBbwF/ARJTY2lUZWdpYy5Nb2xlY3VsZQAAAQFkAv5qAQAAAAIAAgEdIAAAAPz8APwAAgAAAAAAAPC/AAAAAAAAGAAAAPz8APwAAgAAAAAAAPC/Ap6AJsKGp9O/Ah44Z0Rpb/e/AAAAABwAAAD8/AD8AAIAAAAAAADwvwIGo5I6AU3mPwKamZmZmZkEwAAAAAAYAAAA/PwA/AACAAAAAAAA8L8C9UpZhjjW+r8CNjy9UpahAMAAAAAAHAAAAPz8APwAAgAAAAAAAPC/AoofY+5aQq6/Aq36XG3F/g7AAAAAABgAAAD8/AD8AAIAAAAAAADwvwLswDkjSnsBQAIg0m9fB84CwAAAAAAYAAAA/PwA/AACAAAAAAAA8L8CVjAqqRPQB8ACejarPldb9b8AAAAAGAAAAPz8APwAAgAAAAAAAPC/AhpR2ht8Yfi/ApoqGJXUiQzAAAAAABgAAAD8/AD8AAIAAAAAAADwvwKt+lxtxf7ePwIYJlMFoxIVwAAAAAAYAAAA/PwA/AACAAAAAAAA8L8CotY07zhFCkACAwmKH2PuCsAAAAAAGAAAAPz8APwAAgAAAAAAAPC/AlYwKqkT0AfAAkETYcPTK8U/AAAAABgAAAD8/AD8AAIAAAAAAADwvwK0yHa+nxoRwAI2PL1SlqEAwAAAAAAgAAAA/PwA/AACAAAAAAAA8L8CGCZTBaMSBcACt9EA3gJJEsAAAAAAGAAAAPz8APwAAgAAAAAAAPC/AnYCmggbnv4/AouO5PIf0hbAAAAAACAAAAD8/AD8AAIAAAAAAADwvwLsUbgehWsJQAK62or9ZXcTwAAAAAAYAAAA/PwA/AACAAAAAAAA8L8CtMh2vp8aEcAC7MA5I0p77T8AAAAAGAAAAPz8APwAAgAAAAAAAPC/AvVKWYY41vq/AuzAOSNKe+0/AAAAABgAAAD8/AD8AAIAAAAAAADwvwIijnVxG00WwAJ6Nqs+V1v1vwAAAAAYAAAA/PwA/AACAAAAAAAA8L8CtMh2vp8aEcACqOhILv+hDMAAAAAAGAAAAPz8APwAAgAAAAAAAPC/AgRWDi2ynQLAAr+fGi/dJBjAAAAAABgAAAD8/AD8AAIAAAAAAADwvwIijnVxG00WwAJBE2HD0yvFPwAAAAAYAAAA/PwA/AACAAAAAAAA8L8C9UpZhjjW+r8CrBxaZDtfA0AAAAAAGAAAAPz8APwAAgAAAAAAAPC/AiKOdXEbTRbAAtejcD0KVxHAAAAAACAAAAD8/AD8AAIAAAAAAADwvwJ90LNZ9bnsvwJcsb/snvwZwAAAAAAYAAAA/PwA/AACAAAAAAAA8L8Cj1N0JJd/C8ACKVyPwvUoHMAAAAAAGAAAAPz8APwAAgAAAAAAAPC/Ao9TdCSXfxvAAuzAOSNKe+0/AAAAABgAAAD8/AD8AAIAAAAAAADwvwJ8gy9MpgoJwAIYldQJaAIhwAAAAAAYAAAA/PwA/AACAAAAAAAA8L8CutqK/WV3E8ACjErqBDRRGsAAAAAAGAAAAPz8APwAAgAAAAAAAPC/AqkT0ETYMBLAAkoMAiuHFiDAAAAAAAEfAAQBZQgAAAAAAAAAAAQIAWUEAAAAAAAAAAAEDAFlBAAAAAAAAAAACBABZQQAAAAAAAAAAAgUAWUEAAAAAAAAAAAMGAFlBAAAAAAAAAAADBwBZQgMAAAAAAAAABAgAWUEAAAAAAAAAAAUJAFlBAAAAAAAAAAAGCgBZQgMAAAAAAAAABgsAWUEAAAAAAAAAAAcMAFlBAAAAAAAAAAAIDQBZQQAAAAAAAAAACQ4AWUEAAAAAAAAAAAoPAFlBAAAAAAAAAAAKAEQAWUEAAAAAAAAAAAsAREBZQgIAAAAAAAAACwBEgFlBAAAAAAAAAAAMAETAWUEAAAAAAAAAAA8ARQBZQgMAAAAAAAAAAEQARUBZQQAAAAAAAAAAAESARYBZQQAAAAAAAAAAAETARcBZQgAAAAAAAAAAAETARgBZQQAAAAAAAAAAAEUARkBZQQAAAAAAAAAAAEYARoBZQQAAAAAAAAAAAEYARsBZQQAAAAAAAAAAAEYARwBZQQAAAAAAAAAABAcAWUEAAAAAAAAAAA0OAFlBAAAAAAAAAAAAREBFAFlBAAAAAAAAAAAAAAAAA==</t>
        </r>
      </text>
    </comment>
    <comment ref="A275" authorId="0" shapeId="0" xr:uid="{AD4B7F89-C455-4E69-BA7E-FA4211289D6A}">
      <text>
        <r>
          <rPr>
            <sz val="9"/>
            <color indexed="81"/>
            <rFont val="Segoe UI"/>
            <charset val="1"/>
          </rPr>
          <t>Insight iXlW00001C0000275R0080105531S00000548P01580LAocjBAQBF1NjaVRlZ2ljLmRhdGEuTW9sZWN1bGUBbwF/ARJTY2lUZWdpYy5Nb2xlY3VsZQAAAQFkAv5qAQAAAAIAAgEVARAAAAD8/AD8AAIAAAAAAADwvwAAAAAAADwAAAD8/AD8AAIAAAAAAADwvwKpNc07TtHnPwIJG55eKcv0PwAAAAABEAAAAPz8APwAAgAAAAAAAPC/AmkAb4EExeG/Au9aQj7oWQBAAAAAACAAAAD8/AD8AAIAAAAAAADwvwLvWkI+6FkAQAIxCKwcWmThPwAAAAAgAAAA/PwA/AACAAAAAAAA8L8CqTXNO07R9z8CCRueXinLBEAAAAAAGAAAAPz8APwAAgAAAAAAAPC/Aj2bVZ+rrf2/Agkbnl4py/Q/AAAAABgAAAD8/AD8AAIAAAAAAADwvwLvWkI+6FkAQAI6tMh2vp/uvwAAAAAYAAAA/PwA/AACAAAAAAAA8L8C78nDQq3pB0ACCRueXinLBEAAAAAAGAAAAPz8APwAAgAAAAAAAPC/AiPb+X5qPAnAAu9aQj7oWQBAAAAAABgAAAD8/AD8AAIAAAAAAADwvwJzaJHtfL8KQALx9EpZhjj7vwAAAAAYAAAA/PwA/AACAAAAAAAA8L8CWRe30QDeDUACjSjtDb4wD0AAAAAAIAAAAPz8APwAAgAAAAAAAPC/AiPb+X5qPAnAAgmKH2PuWgxAAAAAABwAAAD8/AD8AAIAAAAAAADwvwJUdCSX/9ARwAIJG55eKcv0PwAAAAAYAAAA/PwA/AACAAAAAAAA8L8Cc2iR7Xy/CkACk6mCUUmdCcAAAAAAGAAAAPz8APwAAgAAAAAAAPC/AjojSnuD7xRAAo0o7Q2+MA9AAAAAABgMAAD8/AD8AAIAAAAAAADwvwJUdCSX/9ARwALdtYR80LPJvwAAAAAYAAAA/PwA/AACAAAAAAAA8L8CFvvL7skDF8AC71pCPuhZAEAAAAAAGAAAAPz8APwAAgAAAAAAAPC/Ahb7y+7JAxfAAjq0yHa+n+6/AAAAABgAAAD8/AD8AAIAAAAAAADwvwIj2/l+ajwJwAI6tMh2vp/uvwAAAAAYAAAA/PwA/AACAAAAAAAA8L8C2IFzRpQ2HMACCRueXinL9D8AAAAAGAAAAPz8APwAAgAAAAAAAPC/AtiBc0aUNhzAAkT67evAOcu/AAAAAAEVAAQBZQgAAAAAAAAAAAQIAWUEAAAAAAAAAAAEDAFlBAAAAAAAAAAABBABZQQAAAAAAAAAAAgUAWUEAAAAAAAAAAAMGAFlBAAAAAAAAAAAEBwBZQQAAAAAAAAAABQgAWUEAAAAAAAAAAAYJAFlBAAAAAAAAAAAHCgBZQQAAAAAAAAAACAsAWUIAAAAAAAAAAAgMAFlBAAAAAAAAAAAJDQBZQQAAAAAAAAAACg4AWUEAAAAAAAAAAAwPAFlBAAAAAAAAAAAMAEQAWUEAAAAAAAAAAA8AREBZQQAAAAAAAAAADwBEgFlBBAAAAAAAAAAARABEwFlBAAAAAAAAAAAAREBFAFlBAAAAAAAAAAAARMBFAFlBAAAAAAAAAAAAAAAAA==</t>
        </r>
      </text>
    </comment>
    <comment ref="A276" authorId="0" shapeId="0" xr:uid="{E37EA91C-BD06-43D8-938A-FEA4C38004CD}">
      <text>
        <r>
          <rPr>
            <sz val="9"/>
            <color indexed="81"/>
            <rFont val="Segoe UI"/>
            <charset val="1"/>
          </rPr>
          <t>Insight iXlW00001C0000276R0080105531S00000550P01532LAocjBAQBF1NjaVRlZ2ljLmRhdGEuTW9sZWN1bGUBbwF/ARJTY2lUZWdpYy5Nb2xlY3VsZQAAAQFkAv5qAQAAAAIAAgEVAREAAAD8/AD8AAIAAAAAAADwvwAAAAAAABgAAAD8/AD8AAIAAAAAAADwvwJFaW/whcn0vwLkg57Nqs/nvwAAAAAYAAAA/PwA/AACAAAAAAAA8L8CfT81XrrJBMAAAAAAACAAAAD8/AD8AAIAAAAAAADwvwJ9PzVeuskEwAIAAAAAAAD4PwAAAAAcAAAA/PwA/AACAAAAAAAA8L8CIPRsVn0uD8AC5IOezarP578AAAAAGAAAAPz8APwAAgAAAAAAAPC/An0/NV66yRTAAAAAAAAYAAAA/PwA/AACAAAAAAAA8L8CIPRsVn0uD8ACMnctIR/0AcAAAAAAGAAAAPz8APwAAgAAAAAAAPC/An0/NV66yRTAAgAAAAAAAPg/AAAAABgAAAD8/AD8AAIAAAAAAADwvwLOGVHaG/wZwALkg57Nqs/nvwAAAAAYAAAA/PwA/AACAAAAAAAA8L8CfT81XrrJBMACOdbFbTQACMAAAAAAGAAAAPz8APwAAgAAAAAAAPC/As4ZUdob/BnAAkA1XrpJDAJAAAAAABgAAAD8/AD8AAIAAAAAAADwvwIg9GxWfS4PwAJANV66SQwCQAAAAAAYAAAA/PwA/AACAAAAAAAA8L8CPN9PjZcuH8AAAAAAABgAAAD8/AD8AAIAAAAAAADwvwLOGVHaG/wZwAIydy0hH/QBwAAAAAAgAAAA/PwA/AACAAAAAAAA8L8CfT81XrrJBMACHeviNhoAEsAAAAAAGAAAAPz8APwAAgAAAAAAAPC/AjzfT42XLh/AAgAAAAAAAPg/AAAAABgAAAD8/AD8AAIAAAAAAADwvwIg9GxWfS4PwAJANV66SQwOQAAAAAAYAAAA/PwA/AACAAAAAAAA8L8CPN9PjZcuH8ACOdbFbTQACMAAAAAAGAAAAPz8APwAAgAAAAAAAPC/AkVpb/CFyfS/Apm7lpAP+hTAAAAAABgAAAD8/AD8AAIAAAAAAADwvwJFaW/whcn0vwK1pnnHKfoawAAAAAAYAAAA/PwA/AACAAAAAAAA8L8AAjnWxW00AB7AAAAAAAEVAAQBZQQAAAAAAAAAAAQIAWUEAAAAAAAAAAAIDAFlCAAAAAAAAAAACBABZQQAAAAAAAAAABAUAWUEAAAAAAAAAAAQGAFlBAAAAAAAAAAAFBwBZQgMAAAAAAAAABQgAWUEAAAAAAAAAAAYJAFlBAAAAAAAAAAAHCgBZQQAAAAAAAAAABwsAWUEAAAAAAAAAAAgMAFlCAgAAAAAAAAAIDQBZQQAAAAAAAAAACQ4AWUEAAAAAAAAAAAoPAFlCAgAAAAAAAAALAEQAWUEAAAAAAAAAAA0AREBZQQAAAAAAAAAADgBEgFlBAAAAAAAAAAAARIBEwFlBAAAAAAAAAAAARMBFAFlBAAAAAAAAAAAMDwBZQQAAAAAAAAAAAAAAAA=</t>
        </r>
      </text>
    </comment>
    <comment ref="A277" authorId="0" shapeId="0" xr:uid="{A4308D47-0D21-4F3C-98BA-75E790982479}">
      <text>
        <r>
          <rPr>
            <sz val="9"/>
            <color indexed="81"/>
            <rFont val="Segoe UI"/>
            <charset val="1"/>
          </rPr>
          <t>Insight iXlW00001C0000277R0080105531S00000552P02264LAocjBAQBF1NjaVRlZ2ljLmRhdGEuTW9sZWN1bGUBbwF/ARJTY2lUZWdpYy5Nb2xlY3VsZQAAAQFkAv5qAQAAAAIAAgEfARAAAAD8/AD8AAIAAAAAAADwvwAAAAAAACAAAAD8/AD8AAIAAAAAAADwvwIg0m9fB870vwIxmSoYldTnPwAAAAAgAAAA/PwA/AACAAAAAAAA8L8CaZHtfD816D8CINJvXwfO9D8AAAAAHAAAAPz8APwAAgAAAAAAAPC/AiDSb18HzvQ/AjGZKhiV1Oe/AAAAABgAAAD8/AD8AAIAAAAAAADwvwIxmSoYldTnvwIg0m9fB870vwAAAAAYAAAA/PwA/AACAAAAAAAA8L8CINJvXwfOBEAAAAAAABgAAAD8/AD8AAIAAAAAAADwvwIrhxbZzvcBwAIg0m9fB870vwAAAAAYAAAA/PwA/AACAAAAAAAA8L8AAiDSb18HzgTAAAAAACAAAAD8/AD8AAIAAAAAAADwvwIg0m9fB84EQAK+wRcmUwX4PwAAAAAcAAAA/PwA/AACAAAAAAAA8L8CMLsnDws1D0ACMZkqGJXU578AAAAAGAAAAPz8APwAAgAAAAAAAPC/AngtIR/07AfAAAAAAAAYAAAA/PwA/AACAAAAAAAA8L8CeC0hH/TsB8ACINJvXwfOBMAAAAAAGAAAAPz8APwAAgAAAAAAAPC/AjGZKhiV1Oe/AjC7Jw8LNQ/AAAAAABgAAAD8/AD8AAIAAAAAAADwvwI8vVKWIc4UQAAAAAAAIAAAAPz8APwAAgAAAAAAAPC/Ah3J5T+k3wHAAiDSb18HzvQ/AAAAACAAAAD8/AD8AAIAAAAAAADwvwIrhxbZzvcRwAAAAAAAGAAAAPz8APwAAgAAAAAAAPC/Ah3J5T+k3wHAAjC7Jw8LNQ/AAAAAABwAAAD8/AD8AAIAAAAAAADwvwLFsS5uowEaQAIxmSoYldTnvwAAAAAcAAAA/PwA/AACAAAAAAAA8L8CPL1SliHOFEACvsEXJlMF+D8AAAAAGAAAAPz8APwAAgAAAAAAAPC/AlHaG3xh8hTAAiDSb18HzvQ/AAAAABgAAAD8/AD8AAIAAAAAAADwvwJNpgpGJTUfQAAAAAAAGAAAAPz8APwAAgAAAAAAAPC/AsWxLm6jARpAAiuHFtnO9wFAAAAAACAAAAD8/AD8AAIAAAAAAADwvwJqTfOOUzQiQAIxmSoYldTnvwAAAAAYAAAA/PwA/AACAAAAAAAA8L8CTaYKRiU1H0ACvsEXJlMF+D8AAAAAIAAAAPz8APwAAgAAAAAAAPC/AsWxLm6jARpAAgpoImx4+g1AAAAAABgAAAD8/AD8AAIAAAAAAADwvwJqTfOOUzQiQAIrhxbZzvcBwAAAAAAYAAAA/PwA/AACAAAAAAAA8L8CPL1SliHOFEACK4cW2c73EUAAAAAAJAAAAPz8APwAAgAAAAAAAPC/Aq5H4XoUziRAAoXrUbgeBQjAAAAAACQAAAD8/AD8AAIAAAAAAADwvwJNpgpGJTUfQAKF61G4HgUIwAAAAAAkAAAA/PwA/AACAAAAAAAA8L8CPL1SliHOFEACm3ecoiP5F0AAAAAAJAAAAPz8APwAAgAAAAAAAPC/AjC7Jw8LNQ9AAsTTK2UZ4g1AAAAAAAEgAAQBZQgAAAAAAAAAAAAIAWUIAAAAAAAAAAAADAFlBAAAAAAAAAAAABABZQQAAAAAAAAAAAwUAWUEAAAAAAAAAAAQGAFlCAgAAAAAAAAAEBwBZQQAAAAAAAAAABQgAWUIAAAAAAAAAAAUJAFlBAAAAAAAAAAAGCgBZQQAAAAAAAAAABgsAWUEAAAAAAAAAAAcMAFlCAgAAAAAAAAAJDQBZQQAAAAAAAAAACg4AWUIAAAAAAAAAAAoPAFlBAAAAAAAAAAALAEQAWUICAAAAAAAAAA0AREBZQgMAAAAAAAAADQBEgFlBAAAAAAAAAAAPAETAWUEAAAAAAAAAAABEQEUAWUEAAAAAAAAAAABEgEVAWUIDAAAAAAAAAABFAEWAWUEAAAAAAAAAAABFAEXAWUICAAAAAAAAAABFQEYAWUEAAAAAAAAAAABFgEZAWUEAAAAAAAAAAABGAEaAWUEAAAAAAAAAAABGQEbAWUEAAAAAAAAAAABGQEcAWUEAAAAAAAAAAABGgEdAWUEAAAAAAAAAAABGgEeAWUEAAAAAAAAAAAwARABZQQAAAAAAAAAAAEVARcBZQQAAAAAAAAAAAAAAAA=</t>
        </r>
      </text>
    </comment>
    <comment ref="A278" authorId="0" shapeId="0" xr:uid="{43EA4D4C-369F-411E-A5FE-AA5790497B1A}">
      <text>
        <r>
          <rPr>
            <sz val="9"/>
            <color indexed="81"/>
            <rFont val="Segoe UI"/>
            <charset val="1"/>
          </rPr>
          <t>Insight iXlW00001C0000278R0080105531S00000554P01300LAocjBAQBF1NjaVRlZ2ljLmRhdGEuTW9sZWN1bGUBbwF/ARJTY2lUZWdpYy5Nb2xlY3VsZQAAAQFkAv5qAQAAAAIAAgERAREAAAD8/AD8AAIAAAAAAADwvwAAAAAAABgAAAD8/AD8AAIAAAAAAADwvwLXNO84RUeivwJgdk8eFmr3vwAAAAAcAAAA/PwA/AACAAAAAAAA8L8ChlrTvOMU9r8CCM4ZUdqbAcAAAAAAHAAAAPz8APwAAgAAAAAAAPC/AlwgQfFjzPM/AgjOGVHamwHAAAAAABgAAAD8/AD8AAIAAAAAAADwvwIt1JrmHaf2vwI4iUFg5VANwAAAAAAYAAAA/PwA/AACAAAAAAAA8L8CtaZ5xyk68z8COIlBYOVQDcAAAAAAHAAAAPz8APwAAgAAAAAAAPC/Atc07zhFR8K/AuviNhrAmxHAAAAAABwAAAD8/AD8AAIAAAAAAADwvwKGWtO84xQGwALr4jYawJsRwAAAAAAcAAAA/PwA/AACAAAAAAAA8L8CI0p7gy/MA0AC6+I2GsCbEcAAAAAAGAAAAPz8APwAAgAAAAAAAPC/ApeQD3o2axDAAh44Z0Rp7wzAAAAAABgAAAD8/AD8AAIAAAAAAADwvwLswDkjSvsNQAIeOGdEae8MwAAAAAAYAAAA/PwA/AACAAAAAAAA8L8CZapgVFKnFcACufyH9NvXBsAAAAAAGAAAAPz8APwAAgAAAAAAAPC/AmWqYFRSpxXAAoIExY8xdxHAAAAAABgAAAD8/AD8AAIAAAAAAADwvwK62or9ZXcQwALUK2UZ4tgAwAAAAAAYAAAA/PwA/AACAAAAAAAA8L8C4umVsgzxEUACdnEbDeAtAsAAAAAAGAAAAPz8APwAAgAAAAAAAPC/AiqpE9BE2BRAAkt7gy9MpgzAAAAAABwAAAD8/AD8AAIAAAAAAADwvwJPr5RliOMawAKOl24Sg8AAwAAAAAABEgAEAWUEAAAAAAAAAAAECAFlCAwAAAAAAAAABAwBZQQAAAAAAAAAAAgQAWUEAAAAAAAAAAAMFAFlCAwAAAAAAAAAEBgBZQgIAAAAAAAAABAcAWUEAAAAAAAAAAAUIAFlBAAAAAAAAAAAHCQBZQQAAAAAAAAAACAoAWUEAAAAAAAAAAAkLAFlBAAAAAAAAAAAJDABZQQAAAAAAAAAACQ0AWUEAAAAAAAAAAAoOAFlBAAAAAAAAAAAKDwBZQQAAAAAAAAAACwBEAFlDAAAAAAAAAAAFBgBZQQAAAAAAAAAADg8AWUEAAAAAAAAAAAAAAAA</t>
        </r>
      </text>
    </comment>
    <comment ref="A279" authorId="0" shapeId="0" xr:uid="{3DE10247-2DC5-4246-9565-CBCD144A335F}">
      <text>
        <r>
          <rPr>
            <sz val="9"/>
            <color indexed="81"/>
            <rFont val="Segoe UI"/>
            <charset val="1"/>
          </rPr>
          <t>Insight iXlW00001C0000279R0080105531S00000556P01760LAocjBAQBF1NjaVRlZ2ljLmRhdGEuTW9sZWN1bGUBbwF/ARJTY2lUZWdpYy5Nb2xlY3VsZQAAAQFkAv5qAQAAAAIAAgEYJAAAAPz8APwAAgAAAAAAAPC/AAAAAAAAGAAAAPz8APwAAgAAAAAAAPC/AAJa9bnaiv33vwAAAAAkAAAA/PwA/AACAAAAAAAA8L8CDwu1pnnH9L8CCtejcD0KAsAAAAAAJAAAAPz8APwAAgAAAAAAAPC/Ag8LtaZ5x/S/AnZxGw3gLei/AAAAABgAAAD8/AD8AAIAAAAAAADwvwIPC7Wmecf0PwIK16NwPQoCwAAAAAAYAAAA/PwA/AACAAAAAAAA8L8CDwu1pnnHBEACWvW52or9978AAAAAGAAAAPz8APwAAgAAAAAAAPC/Ag8LtaZ5x/Q/ArfRAN4CCQ7AAAAAABwAAAD8/AD8AAIAAAAAAADwvwIPC7WmeccEQAAAAAAAGAAAAPz8APwAAgAAAAAAAPC/ApeQD3o2Kw9AAgrXo3A9CgLAAAAAABgAAAD8/AD8AAIAAAAAAADwvwIPC7WmeccEQAIK16NwPQoSwAAAAAAcAAQA/PwA/AACAAAAAAAA8L8CDwu1pnnHFEACWvW52or9978AAAAAGAAAAPz8APwAAgAAAAAAAPC/ApeQD3o2Kw9AArfRAN4CCQ7AAAAAABwABAD8/AD8AAIAAAAAAADwvwIPC7WmeccEQAJhVFInoAkYwAAAAAAgAAAA/PwA/AACAAAAAAAA8L8CDwu1pnnHFEAAAAAAACAA/AD8/AD8AAIAAAAAAADwvwLTTWIQWPkZQAIK16NwPQoCwAAAAAAcAAAA/PwA/AACAAAAAAAA8L8CDwu1pnnHFEACCtejcD0KEsAAAAAAIAAAAPz8APwAAgAAAAAAAPC/Ag8LtaZ5x/Q/AoljXdxGAxvAAAAAACAA/AD8/AD8AAIAAAAAAADwvwKXkA96NisPQAKJY13cRgMbwAAAAAAYAAAA/PwA/AACAAAAAAAA8L8CDwu1pnnHFEACYVRSJ6AJGMAAAAAAGAAAAPz8APwAAgAAAAAAAPC/AtNNYhBY+RlAArfRAN4CCQ7AAAAAABgAAAD8/AD8AAIAAAAAAADwvwLTTWIQWPkZQAKJY13cRgMbwAAAAAAYAAAA/PwA/AACAAAAAAAA8L8Cl5APejYrH0ACBHgLJCj+EcAAAAAAGAAAAPz8APwAAgAAAAAAAPC/AtNNYhBY+RlAAnDwhclUgSDAAAAAABgAAAD8/AD8AAIAAAAAAADwvwKuad5xii4iQAK30QDeAgkOwAAAAAABGAAEAWUEAAAAAAAAAAAECAFlBAAAAAAAAAAABAwBZQQAAAAAAAAAAAQQAWUEAAAAAAAAAAAQFAFlCAgAAAAAAAAAEBgBZQQAAAAAAAAAABQcAWUEAAAAAAAAAAAUIAFlBAAAAAAAAAAAGCQBZQgMAAAAAAAAACAoAWUEAAAAAAAAAAAgLAFlCAwAAAAAAAAAJDABZQQAAAAAAAAAACg0AWUIAAAAAAAAAAAoOAFlBAAAAAAAAAAALDwBZQQAAAAAAAAAADABEAFlCAAAAAAAAAAAMAERAWUEAAAAAAAAAAA8ARIBZQQAAAAAAAAAADwBEwFlBAAAAAAAAAAAARIBFAFlBAAAAAAAAAAAARMBFQFlBAAAAAAAAAAAARQBFgFlBAAAAAAAAAAAARUBFwFlBAAAAAAAAAAAJCwBZQQAAAAAAAAAAAAAAAA=</t>
        </r>
      </text>
    </comment>
    <comment ref="A280" authorId="0" shapeId="0" xr:uid="{CC39CCC2-5542-4642-82F4-E117A2A918D0}">
      <text>
        <r>
          <rPr>
            <sz val="9"/>
            <color indexed="81"/>
            <rFont val="Segoe UI"/>
            <charset val="1"/>
          </rPr>
          <t>Insight iXlW00001C0000280R0080105531S00000558P01884LAocjBAQBF1NjaVRlZ2ljLmRhdGEuTW9sZWN1bGUBbwF/ARJTY2lUZWdpYy5Nb2xlY3VsZQAAAQFkAv5qAQAAAAIAAgEZJAAAAPz8APwAAgAAAAAAAPC/AAAAAAAAGAAAAPz8APwAAgAAAAAAAPC/AoG3QILix5i/AkhQ/Bhz1/e/AAAAACQAAAD8/AD8AAIAAAAAAADwvwKhZ7Pqc7X1vwJahjjWxe0BwAAAAAAkAAAA/PwA/AACAAAAAAAA8L8CoWez6nO19b8C+8vuycNC578AAAAAGAAAAPz8APwAAgAAAAAAAPC/ArivA+eMKPQ/AlqGONbF7QHAAAAAABgAAAD8/AD8AAIAAAAAAADwvwInMQisHFoEQAL5oGez6nP3vwAAAAAYAAAA/PwA/AACAAAAAAAA8L8C2qz6XG3F8z8Cfq62Yn/ZDcAAAAAAHAAAAPz8APwAAgAAAAAAAPC/ArivA+eMKARAArFQa5p3nLI/AAAAABgAAAD8/AD8AAIAAAAAAADwvwJyio7k8p8OQALrBDQRNrwBwAAAAAAYAAAA/PwA/AACAAAAAAAA8L8CuK8D54woBEACdnEbDeDtEcAAAAAAHAAEAPz8APwAAgAAAAAAAPC/At9xio7kchRAAhueXinLEPe/AAAAABgAAAD8/AD8AAIAAAAAAADwvwIDCYofY24OQAIPLbKd76cNwAAAAAAcAAQA/PwA/AACAAAAAAAA8L8CEVg5tMj2A0ACbJp3nKLjF8AAAAAAIAAAAPz8APwAAgAAAAAAAPC/AicxCKwcWhRAApF++zpwzrg/AAAAACAA/AD8/AD8AAIAAAAAAADwvwKEns2qz5UZQAJ8gy9MpooBwAAAAAAcAAAA/PwA/AACAAAAAAAA8L8CJzEIrBxaFEACvjCZKhjVEcAAAAAAIAAAAPz8APwAAgAAAAAAAPC/As/3U+Olm/I/AkeU9gZf2BrAAAAAACAA/AD8/AD8AAIAAAAAAADwvwKUh4Va0zwOQAJHlPYGX9gawAAAAAAYAAAA/PwA/AACAAAAAAAA8L8CzV1LyAd9GUACZ9Xnait2DcAAAAAAGAAAAPz8APwAAgAAAAAAAPC/AnDwhclUQRRAArRZ9bnayhfAAAAAABgAAAD8/AD8AAIAAAAAAADwvwJyio7k8p8eQAKP5PIf0q8RwAAAAAAYAAAA/PwA/AACAAAAAAAA8L8CFR3J5T9kGUACj1N0JJe/GsAAAAAAGAAAAPz8APwAAgAAAAAAAPC/AoLix5i71iBAApAxdy0h3xbAAAAAABgAAAD8/AD8AAIAAAAAAADwvwJwXwfOGVEiQAIzxLEubqMRwAAAAAAYAAAA/PwA/AACAAAAAAAA8L8CXtxGA3hLGUACQz7o2axaIMAAAAAAARoABAFlBAAAAAAAAAAABAgBZQQAAAAAAAAAAAQMAWUEAAAAAAAAAAAEEAFlBAAAAAAAAAAAEBQBZQgIAAAAAAAAABAYAWUEAAAAAAAAAAAUHAFlBAAAAAAAAAAAFCABZQQAAAAAAAAAABgkAWUIDAAAAAAAAAAgKAFlBAAAAAAAAAAAICwBZQgMAAAAAAAAACQwAWUEAAAAAAAAAAAoNAFlCAAAAAAAAAAAKDgBZQQAAAAAAAAAACw8AWUEAAAAAAAAAAAwARABZQgAAAAAAAAAADABEQFlBAAAAAAAAAAAPAESAWUEAAAAAAAAAAA8ARMBZQQAAAAAAAAAAAESARQBZQQAAAAAAAAAAAETARUBZQQAAAAAAAAAAAEUARYBZQQAAAAAAAAAAAEUARcBZQQAAAAAAAAAAAEVARgBZQQAAAAAAAAAACQsAWUEAAAAAAAAAAABFgEXAWUEAAAAAAAAAAAAAAAA</t>
        </r>
      </text>
    </comment>
    <comment ref="A281" authorId="0" shapeId="0" xr:uid="{319F5BB6-1D02-41CC-B64B-5D8080C858FA}">
      <text>
        <r>
          <rPr>
            <sz val="9"/>
            <color indexed="81"/>
            <rFont val="Segoe UI"/>
            <charset val="1"/>
          </rPr>
          <t>Insight iXlW00001C0000281R0080105531S00000560P02340LAocjBAQBF1NjaVRlZ2ljLmRhdGEuTW9sZWN1bGUBbwF/ARJTY2lUZWdpYy5Nb2xlY3VsZQAAAQFkAv5qAQAAAAIAAgEfAREAAAD8/AD8AAIAAAAAAADwvwAAAAAAABgAAAD8/AD8AAIAAAAAAADwvwJjEFg5tMj0vwICK4cW2c7nvwAAAAAYAAAA/PwA/AACAAAAAAAA8L8Cm+Ydp+jIBMAAAAAAABgAAAD8/AD8AAIAAAAAAADwvwJjEFg5tMj0vwJQHhZqTfMBwAAAAAAYAAAA/PwA/AACAAAAAAAA8L8CzO7Jw0ItD8ACAiuHFtnO578AAAAAGAAAAPz8APwAAgAAAAAAAPC/ApvmHafoyATAAh6n6Egu/wfAAAAAABgAAAD8/AD8AAIAAAAAAADwvwLM7snDQi0PwAJQHhZqTfMBwAAAAAAgAAAA/PwA/AACAAAAAAAA8L8Cm+Ydp+jIFMACHqfoSC7/B8AAAAAAGAAAAPz8APwAAgAAAAAAAPC/ApvmHafoyBTAAld9rrZi/xHAAAAAABgAAAD8/AD8AAIAAAAAAADwvwK06nO1FfsZwAK+wRcmUwUVwAAAAAAYAAAA/PwA/AACAAAAAAAA8L8CzO7Jw0ItD8ACt2J/2T35FMAAAAAAIAAAAPz8APwAAgAAAAAAAPC/ArTqc7UV+xnAAoXrUbgeBRvAAAAAABwAAAD8/AD8AAIAAAAAAADwvwLM7snDQi0fwALm0CLb+f4dwAAAAAAYAAAA/PwA/AACAAAAAAAA8L8CzO7Jw0ItH8ACV32utmL/IcAAAAAAGAAAAPz8APwAAgAAAAAAAPC/AgFvgQTFLyLAAoofY+5agiPAAAAAABgAAAD8/AD8AAIAAAAAAADwvwK06nO1FfsZwAKKH2PuWoIjwAAAAAAYAAAA/PwA/AACAAAAAAAA8L8CDXGsi9vIJMACV32utmL/IcAAAAAAGAAAAPz8APwAAgAAAAAAAPC/AgFvgQTFLyLAAm40gLdAgibAAAAAABgAAAD8/AD8AAIAAAAAAADwvwKb5h2n6MgUwAJXfa62Yv8hwAAAAAAgAAAA/PwA/AACAAAAAAAA8L8CDXGsi9vIJMAC5tAi2/n+HcAAAAAAGAAAAPz8APwAAgAAAAAAAPC/Ahlz1xLyYSfAAoofY+5agiPAAAAAACAAAAD8/AD8AAIAAAAAAADwvwLM7snDQi0fwAIep+hILv8nwAAAAAAYAAAA/PwA/AACAAAAAAAA8L8CDXGsi9vIJMACHqfoSC7/J8AAAAAAGAAAAPz8APwAAgAAAAAAAPC/AszuycNCLQ/AAoofY+5agiPAAAAAABgAAAD8/AD8AAIAAAAAAADwvwIZc9cS8mEnwAJuNIC3QIImwAAAAAAYAAAA/PwA/AACAAAAAAAA8L8CtOpztRX7KcACHqfoSC7/J8AAAAAAGAAAAPz8APwAAgAAAAAAAPC/AsDsnjwslCzAAm40gLdAgibAAAAAABgAAAD8/AD8AAIAAAAAAADwvwK06nO1FfspwAICvAUSFP8qwAAAAAABEAAAAPz8APwAAgAAAAAAAPC/AltkO99PLS/AAh6n6Egu/yfAAAAAABgAAAD8/AD8AAIAAAAAAADwvwLA7J48LJQswAI2XrpJDIIswAAAAAAYAAAA/PwA/AACAAAAAAAA8L8CW2Q7308tL8ACArwFEhT/KsAAAAAAASEABAFlBAAAAAAAAAAABAgBZQgMAAAAAAAAAAQMAWUEAAAAAAAAAAAIEAFlBAAAAAAAAAAADBQBZQgIAAAAAAAAABAYAWUIDAAAAAAAAAAYHAFlBAAAAAAAAAAAHCABZQQAAAAAAAAAACAkAWUEAAAAAAAAAAAgKAFlBAAAAAAAAAAAJCwBZQQAAAAAAAAAACwwAWUEAAAAAAAAAAAwNAFlCAwAAAAAAAAANDgBZQQAAAAAAAAAADQ8AWUEAAAAAAAAAAA4ARABZQgIAAAAAAAAADgBEQFlBAAAAAAAAAAAPAESAWUEAAAAAAAAAAABEAETAWUEAAAAAAAAAAABEAEUAWUEAAAAAAAAAAABEQEVAWUIAAAAAAAAAAABEQEWAWUEAAAAAAAAAAABEgEXAWUEAAAAAAAAAAABFAEYAWUEAAAAAAAAAAABGAEZAWUEAAAAAAAAAAABGQEaAWUEAAAAAAAAAAABGQEbAWUEAAAAAAAAAAABGgEcAWUEAAAAAAAAAAABGwEdAWUEAAAAAAAAAAABHAEeAWUEAAAAAAAAAAAUGAFlBAAAAAAAAAAAARYBGAFlBAAAAAAAAAAAAR0BHgFlBAAAAAAAAAAAAAAAAA==</t>
        </r>
      </text>
    </comment>
    <comment ref="A282" authorId="0" shapeId="0" xr:uid="{89DCDD6B-A4F1-47D1-A7A3-02A9CB7B1FE8}">
      <text>
        <r>
          <rPr>
            <sz val="9"/>
            <color indexed="81"/>
            <rFont val="Segoe UI"/>
            <charset val="1"/>
          </rPr>
          <t>Insight iXlW00001C0000282R0080105531S00000562P01356LAocjBAQBF1NjaVRlZ2ljLmRhdGEuTW9sZWN1bGUBbwF/ARJTY2lUZWdpYy5Nb2xlY3VsZQAAAQFkAv5qAQAAAAIAAgESAREAAAD8/AD8AAIAAAAAAADwvwAAAAAAABgAAAD8/AD8AAIAAAAAAADwvwJyio7k8h+yvwL45GGh1jT3vwAAAAAcAAAA/PwA/AACAAAAAAAA8L8CWRe30QDe8j8Cl5APejYrAcAAAAAAHAAAAPz8APwAAgAAAAAAAPC/AhRhw9MrZfe/ApeQD3o2KwHAAAAAABgAAAD8/AD8AAIAAAAAAADwvwKyLm6jAbzxPwITg8DKocUMwAAAAAAYAAAA/PwA/AACAAAAAAAA8L8CSp2AJsKG+L8CE4PAyqHFDMAAAAAAHAAAAPz8APwAAgAAAAAAAPC/AuomMQisHNK/Ap7vp8ZLNxHAAAAAABwAAAD8/AD8AAIAAAAAAADwvwJZF7fRAN4CQAKze/KwUCsRwAAAAAAcAAAA/PwA/AACAAAAAAAA8L8CFGHD0ytlB8ACnu+nxks3EcAAAAAAGAAAAPz8APwAAgAAAAAAAPC/AiFB8WPM3QxAArIubqMBvAvAAAAAABgAAAD8/AD8AAIAAAAAAADwvwKlTkATYUMRwAKyLm6jAbwLwAAAAAAYAAAA/PwA/AACAAAAAAAA8L8CkKD4MeZuE0ACZ2ZmZmamEMAAAAAAGAAAAPz8APwAAgAAAAAAAPC/AhRhw9MrZQxAAv2H9NvXgf+/AAAAABgAAAD8/AD8AAIAAAAAAADwvwK5/If025cWwAKC4seYu9YQwAAAAAAgAAAA/PwA/AACAAAAAAAA8L8Cx7q4jQawFsACzhlR2hu8FsAAAAAAIAAAAPz8APwAAgAAAAAAAPC/As6qz9VW7BvAArMMcayLWwvAAAAAABgAAAD8/AD8AAIAAAAAAADwvwJxrIvbaKAgwAJnZmZmZqYQwAAAAAAYAAAA/PwA/AACAAAAAAAA8L8CfIMvTKZKI8ACidLe4AsTC8AAAAAAARIABAFlBAAAAAAAAAAABAgBZQgMAAAAAAAAAAQMAWUEAAAAAAAAAAAIEAFlBAAAAAAAAAAADBQBZQgMAAAAAAAAABAYAWUICAAAAAAAAAAQHAFlBAAAAAAAAAAAFCABZQQAAAAAAAAAABwkAWUEAAAAAAAAAAAgKAFlBAAAAAAAAAAAJCwBZQQAAAAAAAAAACQwAWUEAAAAAAAAAAAoNAFlBAAAAAAAAAAANDgBZQgAAAAAAAAAADQ8AWUEAAAAAAAAAAA8ARABZQQAAAAAAAAAAAEQAREBZQQAAAAAAAAAABQYAWUEAAAAAAAAAAAAAAAA</t>
        </r>
      </text>
    </comment>
    <comment ref="A283" authorId="0" shapeId="0" xr:uid="{B2C7D0EF-BF02-4908-805B-219019D36C4A}">
      <text>
        <r>
          <rPr>
            <sz val="9"/>
            <color indexed="81"/>
            <rFont val="Segoe UI"/>
            <charset val="1"/>
          </rPr>
          <t>Insight iXlW00001C0000283R0080105531S00000564P01188LAocjBAQBF1NjaVRlZ2ljLmRhdGEuTW9sZWN1bGUBbwF/ARJTY2lUZWdpYy5Nb2xlY3VsZQAAAQFkAv5qAQAAAAIAAgEQIAAAAPz8APwAAgAAAAAAAPC/AAAAAAAAGAAAAPz8APwAAgAAAAAAAPC/AAIN4C2QoPj3vwAAAAAYAAAA/PwA/AACAAAAAAAA8L8CpU5AE2HD9L8C8mPMXUvI5z8AAAAAHAAAAPz8APwAAgAAAAAAAPC/AqVOQBNhw/S/AhHHuriNBgLAAAAAABwAAAD8/AD8AAIAAAAAAADwvwKlTkATYcP0PwIRx7q4jQYCwAAAAAAYAAAA/PwA/AACAAAAAAAA8L8CpU5AE2HD9L8CUI2XbhIDDsAAAAAAGAAAAPz8APwAAgAAAAAAAPC/AqVOQBNhw/Q/AlCNl24SAw7AAAAAABwAAAD8/AD8AAIAAAAAAADwvwACLbKd76cGEsAAAAAAHAAAAPz8APwAAgAAAAAAAPC/AqVOQBNhwwTAAi2yne+nBhLAAAAAABwAAAD8/AD8AAIAAAAAAADwvwKlTkATYcMEQAItsp3vpwYSwAAAAAAYAAAA/PwA/AACAAAAAAAA8L8Cv58aL90kD8ACUI2XbhIDDsAAAAAAGAAAAPz8APwAAgAAAAAAAPC/Ar+fGi/dJA9AAlCNl24SAw7AAAAAABgAAAD8/AD8AAIAAAAAAADwvwKJY13cRsMUwAItsp3vpwYSwAAAAAAYAAAA/PwA/AACAAAAAAAA8L8Cv58aL90kD8ACEce6uI0GAsAAAAAAGAAAAPz8APwAAgAAAAAAAPC/AoljXdxGwxRAAi2yne+nBhLAAAAAABgAAAD8/AD8AAIAAAAAAADwvwK/nxov3SQPQAIRx7q4jQYCwAAAAAABEAAEAWUEAAAAAAAAAAAACAFlBAAAAAAAAAAABAwBZQgMAAAAAAAAAAQQAWUEAAAAAAAAAAAMFAFlBAAAAAAAAAAAEBgBZQgMAAAAAAAAABQcAWUICAAAAAAAAAAUIAFlBAAAAAAAAAAAGCQBZQQAAAAAAAAAACAoAWUEAAAAAAAAAAAkLAFlBAAAAAAAAAAAKDABZQQAAAAAAAAAACg0AWUEAAAAAAAAAAAsOAFlBAAAAAAAAAAALDwBZQQAAAAAAAAAABgcAWUEAAAAAAAAAAAAAAAA</t>
        </r>
      </text>
    </comment>
    <comment ref="A284" authorId="0" shapeId="0" xr:uid="{4935E4F2-2357-4C8D-BDBF-E2E4D1CB2C9F}">
      <text>
        <r>
          <rPr>
            <sz val="9"/>
            <color indexed="81"/>
            <rFont val="Segoe UI"/>
            <charset val="1"/>
          </rPr>
          <t>Insight iXlW00001C0000284R0080105531S00000566P01192LAocjBAQBF1NjaVRlZ2ljLmRhdGEuTW9sZWN1bGUBbwF/ARJTY2lUZWdpYy5Nb2xlY3VsZQAAAQFkAv5qAQAAAAIAAgEQARAAAAD8/AD8AAIAAAAAAADwvwAAAAAAABgAAAD8/AD8AAIAAAAAAADwvwACDeAtkKD4978AAAAAGAAAAPz8APwAAgAAAAAAAPC/AqVOQBNhw/S/AvJjzF1LyOc/AAAAABwAAAD8/AD8AAIAAAAAAADwvwKlTkATYcP0vwIRx7q4jQYCwAAAAAAcAAAA/PwA/AACAAAAAAAA8L8CpU5AE2HD9D8CEce6uI0GAsAAAAAAGAAAAPz8APwAAgAAAAAAAPC/AqVOQBNhw/S/AlCNl24SAw7AAAAAABgAAAD8/AD8AAIAAAAAAADwvwKlTkATYcP0PwJQjZduEgMOwAAAAAAcAAAA/PwA/AACAAAAAAAA8L8AAi2yne+nBhLAAAAAABwAAAD8/AD8AAIAAAAAAADwvwKlTkATYcMEwAItsp3vpwYSwAAAAAAcAAAA/PwA/AACAAAAAAAA8L8CpU5AE2HDBEACLbKd76cGEsAAAAAAGAAAAPz8APwAAgAAAAAAAPC/Ar+fGi/dJA/AAlCNl24SAw7AAAAAABgAAAD8/AD8AAIAAAAAAADwvwK/nxov3SQPQAJQjZduEgMOwAAAAAAYAAAA/PwA/AACAAAAAAAA8L8CiWNd3EbDFMACLbKd76cGEsAAAAAAGAAAAPz8APwAAgAAAAAAAPC/Ar+fGi/dJA/AAhHHuriNBgLAAAAAABgAAAD8/AD8AAIAAAAAAADwvwKJY13cRsMUQAItsp3vpwYSwAAAAAAYAAAA/PwA/AACAAAAAAAA8L8Cv58aL90kD0ACEce6uI0GAsAAAAAAARAABAFlBAAAAAAAAAAAAAgBZQQAAAAAAAAAAAQMAWUIDAAAAAAAAAAEEAFlBAAAAAAAAAAADBQBZQQAAAAAAAAAABAYAWUIDAAAAAAAAAAUHAFlCAgAAAAAAAAAFCABZQQAAAAAAAAAABgkAWUEAAAAAAAAAAAgKAFlBAAAAAAAAAAAJCwBZQQAAAAAAAAAACgwAWUEAAAAAAAAAAAoNAFlBAAAAAAAAAAALDgBZQQAAAAAAAAAACw8AWUEAAAAAAAAAAAYHAFlBAAAAAAAAAAAAAAAAA==</t>
        </r>
      </text>
    </comment>
    <comment ref="A285" authorId="0" shapeId="0" xr:uid="{E827F596-3A52-42F9-8EE8-91D3D3C7CBE7}">
      <text>
        <r>
          <rPr>
            <sz val="9"/>
            <color indexed="81"/>
            <rFont val="Segoe UI"/>
            <charset val="1"/>
          </rPr>
          <t>Insight iXlW00001C0000285R0080105531S00000568P01068LAocjBAQBF1NjaVRlZ2ljLmRhdGEuTW9sZWN1bGUBbwF/ARJTY2lUZWdpYy5Nb2xlY3VsZQAAAQFkAv5qAQAAAAIAAjgBEQAAAPz8APwAAgAAAAAAAPC/AAAAAAAAGAAAAPz8APwAAgAAAAAAAPC/Am8Sg8DKofG/Ah44Z0Rpb+S/AAAAABgAAAD8/AD8AAIAAAAAAADwvwK9dJMYBNYDwALNXUvIBz3DPwAAAAAgAAAA/PwA/AACAAAAAAAA8L8CvXSTGATWA8ACSFD8GHPX9j8AAAAAHAAAAPz8APwAAgAAAAAAAPC/AgmKH2Pu2g7AAh44Z0Rpb+S/AAAAABgAAAD8/AD8AAIAAAAAAADwvwLHuriNBvAUwAJm9+RhodbEPwAAAAAYAAAA/PwA/AACAAAAAAAA8L8CCYofY+7aDsACokW28/3UAcAAAAAAGAAAAPz8APwAAgAAAAAAAPC/Aoqw4emVchrAArfRAN4CCeS/AAAAABgAAAD8/AD8AAIAAAAAAADwvwLHuriNBvAUwAIijnVxGw38PwAAAAAYAAAA/PwA/AACAAAAAAAA8L8CC9ejcD0KBsAC4umVsgzxBsAAAAAAGAAAAPz8APwAAgAAAAAAAPC/AqCJsOHp1RPAAuLplbIM8QbAAAAAABgAAAD8/AD8AAIAAAAAAADwvwJNpgpGJfUfwAIAkX77OnDGPwAAAAAYAAAA/PwA/AACAAAAAAAA8L8CirDh6ZVyGsACj+TyH9JvBEAAAAAAGAAAAPz8APwAAgAAAAAAAPC/Ak2mCkYl9R/AAlXBqKROQPw/AAAAADgABAFlBAAAAAAAAAAABAgBZQQAAAAAAAAAAAgMAWUIAAAAAAAAAAAIEAFlBAAAAAAAAAAAEBQBZQQAAAAAAAAAABAYAWUEAAAAAAAAAAAUHAFlCAwAAAAAAAAAFCABZQQAAAAAAAAAABgkAWUEAAAAAAAAAAAYKAFlBAAAAAAAAAAAHCwBZQQAAAAAAAAAACAwAWUICAAAAAAAAAAsNAFlCAgAAAAAAAAAMDQBZQQAAAAAAAAAAAAAAAA=</t>
        </r>
      </text>
    </comment>
    <comment ref="A286" authorId="0" shapeId="0" xr:uid="{6C3EADAA-EAF3-44B4-8B41-6464C849E405}">
      <text>
        <r>
          <rPr>
            <sz val="9"/>
            <color indexed="81"/>
            <rFont val="Segoe UI"/>
            <charset val="1"/>
          </rPr>
          <t>Insight iXlW00001C0000286R0080105531S00000570P00976LAocjBAQBF1NjaVRlZ2ljLmRhdGEuTW9sZWN1bGUBbwF/ARJTY2lUZWdpYy5Nb2xlY3VsZQAAAQFkAv5qAQAAAAIAAjQBEQAAAPz8APwAAgAAAAAAAPC/AAAAAAAAGAAAAPz8APwAAgAAAAAAAPC/Ag8LtaZ5x/Q/AnZxGw3gLeg/AAAAABgAAAD8/AD8AAIAAAAAAADwvwIPC7Wmecf0PwIK16NwPQoCQAAAAAAYAAAA/PwA/AACAAAAAAAA8L8CDwu1pnnHBEAAAAAAAAERAAAA/PwA/AACAAAAAAAA8L8AAqCJsOHpFQhAAAAAABgAAAD8/AD8AAIAAAAAAADwvwIPC7WmeccEQAJa9bnaiv0HQAAAAAAYAAAA/PwA/AACAAAAAAAA8L8Cl5APejYrD0ACPnlYqDXN5z8AAAAAGAAAAPz8APwAAgAAAAAAAPC/ApeQD3o2Kw9AAv0Yc9cS8gFAAAAAABwAAAD8/AD8AAIAAAAAAADwvwIs9pfdk8cUQALtDb4wmSqIvwAAAAAYAAAA/PwA/AACAAAAAAAA8L8C8DhFR3L5GUACBoGVQ4ts5z8AAAAAIAAAAPz8APwAAgAAAAAAAPC/AvA4RUdy+RlAAu9aQj7o2QFAAAAAABgAAAD8/AD8AAIAAAAAAADwvwKze/KwUCsfQALtDb4wmSqYvwAAAAAYAAAA/PwA/AACAAAAAAAA8L8CPN9PjZcuIkACz4jS3uAL5z8AAAAANAAEAWUEAAAAAAAAAAAECAFlCAgAAAAAAAAABAwBZQQAAAAAAAAAAAgQAWUEAAAAAAAAAAAIFAFlBAAAAAAAAAAADBgBZQgMAAAAAAAAABQcAWUICAAAAAAAAAAYIAFlBAAAAAAAAAAAICQBZQQAAAAAAAAAACQoAWUIAAAAAAAAAAAkLAFlBAAAAAAAAAAALDABZQQAAAAAAAAAABgcAWUEAAAAAAAAAAAAAAAA</t>
        </r>
      </text>
    </comment>
    <comment ref="A287" authorId="0" shapeId="0" xr:uid="{0A2BE469-0C48-4F5A-9255-DE9C304659E7}">
      <text>
        <r>
          <rPr>
            <sz val="9"/>
            <color indexed="81"/>
            <rFont val="Segoe UI"/>
            <charset val="1"/>
          </rPr>
          <t>Insight iXlW00001C0000287R0080105531S00000572P02348LAocjBAQBF1NjaVRlZ2ljLmRhdGEuTW9sZWN1bGUBbwF/ARJTY2lUZWdpYy5Nb2xlY3VsZQAAAQFkAv5qAQAAAAIBAgEfAREAAAD8/AD8AAIAAAAAAADwvwAAAAAAABgAAAD8/AD8AAIAAAAAAADwvwJbQj7o2az0PwKQMXctIR/oPwAAAAAYAAAA/PwA/AACAAAAAAAA8L8ClBgEVg6tBEAC+n5qvHSTiD8AAAAAGAAAAPz8APwAAgAAAAAAAPC/As4ZUdobfPQ/AqvP1VbsLwJAAAAAABgAAAD8/AD8AAIAAAAAAADwvwLBOSNKewMPQAKM22gAb4HoPwAAAAAYAAAA/PwA/AACAAAAAAAA8L8CFa5H4XqUBEACVjAqqRNQCEAAAAAAHAAAAPz8APwAAgAAAAAAAPC/AnctIR/0rBRAArdif9k9eZg/AAAAABgAAAD8/AD8AAIAAAAAAADwvwJCz2bV5+oOQALyY8xdS0gCQAAAAAAYAAAA/PwA/AACAAAAAAAA8L8CK6kT0ETYGUACotY07zhF6T8AAAAAHAAAAPz8APwAAgAAAAAAAPC/AlTjpZvEoBRAAtWa5h2naAhAAAAAABgAAAD8/AD8AAIAAAAAAADwvwLrc7UV+8sZQALvOEVHcnkCQAAAAAAgAAAA/PwA/AACAAAAAAAA8L8CggTFjzH3HkACmpmZmZmZCEAAAAAAGAAAAPz8APwAAgAAAAAAAPC/AhrAWyBBESJAAjbNO07RkQJAAAAAABgAAAD8/AD8AAIAAAAAAADwvwJmiGNd3KYkQAIZBFYOLbIIQAAAAAAYAAAA/PwA/AACAAAAAAAA8L8Ce6UsQxwLIkACs3vysFBr6j8AAAAAGAAAAPz8APwAAgAAAAAAAPC/ArFQa5p3PCdAArU3+MJkqgJAAAAAABgAAAD8/AD8AAIAAAAAAADwvwLGbTSAt6AkQAL5oGez6nO1PwAAAAAYAAAA/PwA/AACAAAAAAAA8L8CoKut2F82J0ACryXkg57N6j8AAAAAIAAAAPz8APwAAgAAAAAAAPC/AutztRX7yylAAsgpOpLLf7g/AAAAABgIAAD8/AD8AAIAAAAAAADwvwJLWYY41sUpQAL2udqK/WX2vwAAAAAYAAAA/PwA/AACAAAAAAAA8L8CJZf/kH5bLEACXynLEMc6AcAAAAAAGAAAAPz8APwAAgAAAAAAAPC/Ak/RkVz+IydAAl8pyxDHOgHAAAAAACAAAAD8/AD8AAIAAAAAAADwvwJwXwfOGfEuQAJpke18PzX2vwAAAAAgAAAA/PwA/AACAAAAAAAA8L8ChXzQs1lVLEAC4C2QoPgxDcAAAAAAGAAAAPz8APwAAgAAAAAAAPC/AtBE2PD06i5AAuPHmLuWkBHAAAAAABgAAAD8/AD8AAIAAAAAAADwvwK/nxov3eQuQAIHX5hMFYwXwAAAAAAgAAAA/PwA/AACAAAAAAAA8L8C1LzjFB1JLEACOUVHcvmPGsAAAAAAHAAAAPz8APwAAgAAAAAAAPC/AunZrPpcrSlAAgdfmEwVjBfAAAAAABgAAAD8/AD8AAIAAAAAAADwvwL99nXgnBEnQAI5RUdy+Y8awAAAAAAYAAAA/PwA/AACAAAAAAAA8L8CEhQ/xtx1JEACB1+YTBWMF8AAAAAAGAAAAPz8APwAAgAAAAAAAPC/Av32deCcESdAAr3jFB3JRSDAAAAAAAEhAAQBZQQAAAAAAAAAAAQIAWUIDAAAAAAAAAAEDAFlBAAAAAAAAAAACBABZQQAAAAAAAAAAAwUAWUICAAAAAAAAAAQGAFlBAAAAAAAAAAAEBwBZQgMAAAAAAAAABggAWUICAAAAAAAAAAcJAFlBAAAAAAAAAAAICgBZQQAAAAAAAAAACgsAWUEAAAAAAAAAAAsMAFlBAAAAAAAAAAAMDQBZQgMAAAAAAAAADA4AWUEAAAAAAAAAAA0PAFlBAAAAAAAAAAAOAEQAWUICAAAAAAAAAA8AREBZQgMAAAAAAAAAAERARIBZQQAAAAAAAAAAAESARMBZQQAAAAAAAAAAAETARQBZQQAAAAAAAAAAAETARUBZQQQAAAAAAAAAAEUARYBZQgAAAAAAAAAAAEUARcBZQQAAAAAAAAAAAEXARgBZQQAAAAAAAAAAAEYARkBZQQAAAAAAAAAAAEZARoBZQQAAAAAAAAAAAEaARsBZQQAAAAAAAAAAAEbARwBZQgMAAAAAAAAAAEcAR0BZQQAAAAAAAAAAAEcAR4BZQQAAAAAAAAAABQcAWUEAAAAAAAAAAAkKAFlCAgAAAAAAAAAARABEQFlBAAAAAAAAAAAAAAAAA==</t>
        </r>
      </text>
    </comment>
    <comment ref="A288" authorId="0" shapeId="0" xr:uid="{C364E3CF-D083-4CF1-8EF0-C1C4F387CA0C}">
      <text>
        <r>
          <rPr>
            <sz val="9"/>
            <color indexed="81"/>
            <rFont val="Segoe UI"/>
            <charset val="1"/>
          </rPr>
          <t>Insight iXlW00001C0000288R0080105531S00000574P01116LAocjBAQBF1NjaVRlZ2ljLmRhdGEuTW9sZWN1bGUBbwF/ARJTY2lUZWdpYy5Nb2xlY3VsZQAAAQFkAv5qAQAAAAIAAjwBEQAAAPz8APwAAgAAAAAAAPC/AAAAAAAAGAAAAPz8APwAAgAAAAAAAPC/AAJkzF1LyAf4vwAAAAAcAAAA/PwA/AACAAAAAAAA8L8CVTAqqRPQ9L8CKA8Ltab5AcAAAAAAHAAAAPz8APwAAgAAAAAAAPC/AlUwKqkT0PQ/AigPC7Wm+QHAAAAAABgAAAD8/AD8AAIAAAAAAADwvwJVMCqpE9D0vwIiH/RsVv0NwAAAAAAYAAAA/PwA/AACAAAAAAAA8L8CVTAqqRPQ9D8CIh/0bFb9DcAAAAAAHAAAAPz8APwAAgAAAAAAAPC/AAIoDwu1pvkRwAAAAAAcAAAA/PwA/AACAAAAAAAA8L8CjgbwFkjQBMACKA8Ltab5EcAAAAAAHAAAAPz8APwAAgAAAAAAAPC/Ao4G8BZI0ARAAigPC7Wm+RHAAAAAABgAAAD8/AD8AAIAAAAAAADwvwK5HoXrUTgPwAIiH/RsVv0NwAAAAAAYAAAA/PwA/AACAAAAAAAA8L8CuR6F61E4D0ACIh/0bFb9DcAAAAAAGAAAAPz8APwAAgAAAAAAAPC/AnIbDeAt0BTAAigPC7Wm+RHAAAAAABgAAAD8/AD8AAIAAAAAAADwvwK5HoXrUTgPwAIoDwu1pvkBwAAAAAAYAAAA/PwA/AACAAAAAAAA8L8CchsN4C3QFEACKA8Ltab5EcAAAAAAGAAAAPz8APwAAgAAAAAAAPC/ArkehetROA9AAigPC7Wm+QHAAAAAADwABAFlBAAAAAAAAAAABAgBZQgMAAAAAAAAAAQMAWUEAAAAAAAAAAAIEAFlBAAAAAAAAAAADBQBZQgMAAAAAAAAABAYAWUICAAAAAAAAAAQHAFlBAAAAAAAAAAAFCABZQQAAAAAAAAAABwkAWUEAAAAAAAAAAAgKAFlBAAAAAAAAAAAJCwBZQQAAAAAAAAAACQwAWUEAAAAAAAAAAAoNAFlBAAAAAAAAAAAKDgBZQQAAAAAAAAAABQYAWUEAAAAAAAAAAAAAAAA</t>
        </r>
      </text>
    </comment>
    <comment ref="A289" authorId="0" shapeId="0" xr:uid="{510389A1-B4F0-4D54-99F0-BC27AA5A5F9B}">
      <text>
        <r>
          <rPr>
            <sz val="9"/>
            <color indexed="81"/>
            <rFont val="Segoe UI"/>
            <charset val="1"/>
          </rPr>
          <t>Insight iXlW00001C0000289R0080105531S00000576P00984LAocjBAQBF1NjaVRlZ2ljLmRhdGEuTW9sZWN1bGUBbwF/ARJTY2lUZWdpYy5Nb2xlY3VsZQAAAQFkAv5qAQAAAAIAAjQgAAAA/PwA/AACAAAAAAAA8L8AAAAAAAAYAAAA/PwA/AACAAAAAAAA8L8CQfFjzF1L9T8CBFYOLbKd5z8AAAAAIAAAAPz8APwAAgAAAAAAAPC/AisYldQJ6ARAAAAAAAAcAAAA/PwA/AACAAAAAAAA8L8CH/RsVn2u9T8Cc9cS8kHPAUAAAAAAGAAAAPz8APwAAgAAAAAAAPC/AryWkA96tgRAAnPXEvJBz/e/AAAAABgAAAD8/AD8AAIAAAAAAADwvwKgibDh6ZWyPwKsrdhfds8HQAAAAAAYAAAA/PwA/AACAAAAAAAA8L8Cf4y5awn5DkACc9cS8kHPAcAAAAAAGAAAAPz8APwAAgAAAAAAAPC/AqfoSC7/IfQ/AisYldQJ6AHAAAAAABgAAAD8/AD8AAIAAAAAAADwvwLr4jYawFvzvwIEVg4tsp0BQAAAAAAYAAAA/PwA/AACAAAAAAAA8L8CgbdAguLHqD8CIo51cRsNEkAAAAAAGAAAAPz8APwAAgAAAAAAAPC/AgCRfvs68APAAj0s1JrmnQdAAAAAABgAAAD8/AD8AAIAAAAAAADwvwLJ5T+k377zvwLiWBe30QAVQAAAAAAYAAAA/PwA/AACAAAAAAAA8L8CbxKDwMohBMACak3zjlP0EUAAAAAANAAEAWUIAAAAAAAAAAAECAFlBAAAAAAAAAAABAwBZQQAAAAAAAAAAAgQAWUEAAAAAAAAAAAMFAFlBAAAAAAAAAAAEBgBZQQAAAAAAAAAABAcAWUEAAAAAAAAAAAUIAFlCAwAAAAAAAAAFCQBZQQAAAAAAAAAACAoAWUEAAAAAAAAAAAkLAFlCAgAAAAAAAAAKDABZQgIAAAAAAAAACwwAWUEAAAAAAAAAAAAAAAA</t>
        </r>
      </text>
    </comment>
    <comment ref="A290" authorId="0" shapeId="0" xr:uid="{3F03AC2C-0D6A-4CB2-856C-CB54878CE819}">
      <text>
        <r>
          <rPr>
            <sz val="9"/>
            <color indexed="81"/>
            <rFont val="Segoe UI"/>
            <charset val="1"/>
          </rPr>
          <t>Insight iXlW00001C0000290R0080105531S00000578P01428LAocjBAQBF1NjaVRlZ2ljLmRhdGEuTW9sZWN1bGUBbwF/ARJTY2lUZWdpYy5Nb2xlY3VsZQAAAQFkAv5qAQAAAAIAAgETAREAAAD8/AD8AAIAAAAAAADwvwAAAAAAABgAAAD8/AD8AAIAAAAAAADwvwL5MeauJeT0vwKSXP5D+u3nvwAAAAAYAAAA/PwA/AACAAAAAAAA8L8C+THmriXkBMACdEaU9gZfiD8AAAAAIAAAAPz8APwAAgAAAAAAAPC/Aj/G3LWE/ATAAqyt2F92T/g/AAAAABwAAAD8/AD8AAIAAAAAAADwvwL1SlmGOFYPwAJ4CyQofoznvwAAAAAYAAAA/PwA/AACAAAAAAAA8L8C+THmriXkFMACMSqpE9BEmD8AAAAAGAAAAPz8APwAAgAAAAAAAPC/AjzfT42Xbg/AAhlz1xLywQHAAAAAABgAAAD8/AD8AAIAAAAAAADwvwIcfGEyVfAUwALIKTqSy3/4PwAAAAAYAAAA/PwA/AACAAAAAAAA8L8Cd76fGi8dGsACQRNhw9Mr578AAAAAIAAAAPz8APwAAgAAAAAAAPC/ApQYBFYOLQXAAvd14JwRpQfAAAAAABgAAAD8/AD8AAIAAAAAAADwvwKaCBueXikawAJPQBNhw1MCQAAAAAAYAAAA/PwA/AACAAAAAAAA8L8CkDF3LSGfD8ACT0ATYcNTAkAAAAAAGAAAAPz8APwAAgAAAAAAAPC/AvVKWYY4Vh/AArWmeccpOqI/AAAAABgAAAD8/AD8AAIAAAAAAADwvwKaCBueXikawALT3uALk6kBwAAAAAAYAAAA/PwA/AACAAAAAAAA8L8C2qz6XG1FBcACGXPXEvLBEcAAAAAAGAAAAPz8APwAAgAAAAAAAPC/AhmV1AloYh/AAlVSJ6CJsPg/AAAAABgAAAD8/AD8AAIAAAAAAADwvwLXxW00gLcPwALeAgmKH2MOQAAAAAAYAAAA/PwA/AACAAAAAAAA8L8CZMxdS8gH9r8Cqz5XW7G/FMAAAAAAGAAAAPz8APwAAgAAAAAAAPC/AtfFbTSAtw/AAqs+V1uxvxTAAAAAAAETAAQBZQQAAAAAAAAAAAQIAWUEAAAAAAAAAAAIDAFlCAAAAAAAAAAACBABZQQAAAAAAAAAABAUAWUEAAAAAAAAAAAQGAFlBAAAAAAAAAAAFBwBZQgMAAAAAAAAABQgAWUEAAAAAAAAAAAYJAFlBAAAAAAAAAAAHCgBZQQAAAAAAAAAABwsAWUEAAAAAAAAAAAgMAFlCAgAAAAAAAAAIDQBZQQAAAAAAAAAACQ4AWUEAAAAAAAAAAAoPAFlCAgAAAAAAAAALAEQAWUEAAAAAAAAAAA4AREBZQQAAAAAAAAAADgBEgFlBAAAAAAAAAAAMDwBZQQAAAAAAAAAAAAAAAA=</t>
        </r>
      </text>
    </comment>
    <comment ref="A291" authorId="0" shapeId="0" xr:uid="{C9C756AA-CEA0-4F71-9447-4350699E1C2C}">
      <text>
        <r>
          <rPr>
            <sz val="9"/>
            <color indexed="81"/>
            <rFont val="Segoe UI"/>
            <charset val="1"/>
          </rPr>
          <t>Insight iXlW00001C0000291R0080105531S00000580P02064LAocjBAQBF1NjaVRlZ2ljLmRhdGEuTW9sZWN1bGUBbwF/ARJTY2lUZWdpYy5Nb2xlY3VsZQAAAQFkAv5qAQAAAAIAAgEcARAAAAD8/AD8AAIAAAAAAADwvwAAAAAAACAAAAD8/AD8AAIAAAAAAADwvwKYbhKDwMr0vwLH3LWEfNDnPwAAAAAgAAAA/PwA/AACAAAAAAAA8L8Cx9y1hHzQ5z8CmG4Sg8DK9D8AAAAAHAD8APz8APwAAgAAAAAAAPC/AphuEoPAyvQ/Av7UeOkmMei/AAAAABgAAAD8/AD8AAIAAAAAAADwvwLH3LWEfNDnvwKYbhKDwMr0vwAAAAAYAAAA/PwA/AACAAAAAAAA8L8CX5hMFYzKBEAC7Q2+MJkqiL8AAAAAGAAAAPz8APwAAgAAAAAAAPC/Atv5fmq89AHAAphuEoPAyvS/AAAAABgAAAD8/AD8AAIAAAAAAADwvwLtDb4wmSqIPwJfmEwVjMoEwAAAAAAgAAAA/PwA/AACAAAAAAAA8L8CX5hMFYzKBEACOIlBYOXQ9z8AAAAAHAAAAPz8APwAAgAAAAAAAPC/AqvP1VbsLw9AAv7UeOkmMei/AAAAABgAAAD8/AD8AAIAAAAAAADwvwINcayL2+gHwAAAAAAAGAAAAPz8APwAAgAAAAAAAPC/Ag1xrIvb6AfAAl+YTBWMygTAAAAAABgAAAD8/AD8AAIAAAAAAADwvwKP5PIf0m/nvwKrz9VW7C8PwAAAAAAcAAAA/PwA/AACAAAAAAAA8L8CTKYKRiU1EEAC2/l+arz0AcAAAAAAGAAAAPz8APwAAgAAAAAAAPC/AqW9wRcmExVAAoNRSZ2AJsK/AAAAACAAAAD8/AD8AAIAAAAAAADwvwLNO07RkdwBwAKYbhKDwMr0PwAAAAAgAAAA/PwA/AACAAAAAAAA8L8C2/l+arz0EcAAAAAAABgAAAD8/AD8AAIAAAAAAADwvwLb+X5qvPQBwAKrz9VW7C8PwAAAAAAYAAAA/PwA/AACAAAAAAAA8L8CjErqBDQRFkACKKCJsOFpBMAAAAAAIAAAAPz8APwAAgAAAAAAAPC/Aq8l5IOeTRZAAtBm1edqK/U/AAAAABwAAAD8/AD8AAIAAAAAAADwvwIsZRniWBcZQAK30QDeAgn0vwAAAAAYAAAA/PwA/AACAAAAAAAA8L8CdLUV+8vuFMACmG4Sg8DK9D8AAAAAIAAAAPz8APwAAgAAAAAAAPC/ArwFEhQ/hhhAAsdLN4lBYA/AAAAAABgAAAD8/AD8AAIAAAAAAADwvwJ6xyk6kgsfQAJrK/aX3ZPxvwAAAAAYAAAA/PwA/AACAAAAAAAA8L8Cl/+Qfvv6FEACINJvXweOFMAAAAAAGAAAAPz8APwAAgAAAAAAAPC/AqvP1VbsbxdAAgyTqYJRCRrAAAAAABgAAAD8/AD8AAIAAAAAAADwvwKitDf4wuQTQAJJv30dOOcewAAAAAAsAAQA/PwA/AACAAAAAAAA8L8Cb4EExY8x+D8Cdy0hH/TsBcAAAAAAARwABAFlCAAAAAAAAAAAAAgBZQgAAAAAAAAAAAAMAWUEAAAAAAAAAAAAEAFlBAAAAAAAAAAADBQBZQQAAAAAAAAAABAYAWUICAAAAAAAAAAQHAFlBAAAAAAAAAAAFCABZQgAAAAAAAAAABQkAWUEAAAAAAAAAAAYKAFlBAAAAAAAAAAAGCwBZQQAAAAAAAAAABwwAWUICAAAAAAAAAAkNAFlBAAAAAAAAAAAJDgBZQQAAAAAAAAAACg8AWUIAAAAAAAAAAAoARABZQQAAAAAAAAAACwBEQFlCAgAAAAAAAAANAESAWUIDAAAAAAAAAA4ARMBZQgAAAAAAAAAADgBFAFlBAAAAAAAAAAAARABFQFlBAAAAAAAAAAAARIBFgFlBAAAAAAAAAAAARQBFwFlBAAAAAAAAAAAARYBGAFlBAAAAAAAAAAAARgBGQFlBAAAAAAAAAAAARkBGgFlBAAAAAAAAAAAMAERAWUEAAAAAAAAAAABEgEUAWUEAAAAAAAAAAAAAAAA</t>
        </r>
      </text>
    </comment>
    <comment ref="A292" authorId="0" shapeId="0" xr:uid="{921FE773-43A9-462D-BE3D-485C4F3F152D}">
      <text>
        <r>
          <rPr>
            <sz val="9"/>
            <color indexed="81"/>
            <rFont val="Segoe UI"/>
            <charset val="1"/>
          </rPr>
          <t>Insight iXlW00001C0000292R0080105531S00000582P02276LAocjBAQBF1NjaVRlZ2ljLmRhdGEuTW9sZWN1bGUBbwF/ARJTY2lUZWdpYy5Nb2xlY3VsZQAAAQFkAv5qAQAAAAIAAgEeAREAAAD8/AD8AAIAAAAAAADwvwAAAAAAABgAAAD8/AD8AAIAAAAAAADwvwJuowG8BRLwPwLarPpcbcXxvwAAAAAcAAAA/PwA/AACAAAAAAAA8L8CrK3YX3ZP5j8Cz/dT46WbBMAAAAAAGAAAAPz8APwAAgAAAAAAAPC/Av0Yc9cS8gNAAhwN4C2QoO6/AAAAABgAAAD8/AD8AAIAAAAAAADwvwLByqFFtvP/PwJyGw3gLZAKwAAAAAABEAAAAPz8APwAAgAAAAAAAPC/AtgS8kHP5glAAnS1FfvL7tU/AAAAABwAAAD8/AD8AAIAAAAAAADwvwLOO07RkdwIQALJBz2bVZ8CwAAAAAAYAAAA/PwA/AACAAAAAAAA8L8CrYvbaABvAkACTvOOU3QkE8AAAAAAIAAAAPz8APwAAgAAAAAAAPC/AsWxLm6jAf8/AqK0N/jCZPE/AAAAACAAAAD8/AD8AAIAAAAAAADwvwKI9NvXgfMPQAJI4XoUrkf6PwAAAAAcAAAA/PwA/AACAAAAAAAA8L8CZ2ZmZmYmEkAC1QloImx42r8AAAAAHAAAAPz8APwAAgAAAAAAAPC/AmdmZmZmJhJAAnPXEvJBTwbAAAAAABgAAAD8/AD8AAIAAAAAAADwvwKsHFpkO98NQAIH8BZIUPwUwAAAAAAYAAAA/PwA/AACAAAAAAAA8L8CYcPTK2VZF0ACdLUV+8vu1T8AAAAAGAAAAPz8APwAAgAAAAAAAPC/Ao25awn5YBNAAk7RkVz+AxHAAAAAACAAAAD8/AD8AAIAAAAAAADwvwJhw9MrZVkXQAIEeAskKH79PwAAAAAcAAAA/PwA/AACAAAAAAAA8L8CXCBB8WOMHEAC1QloImx42r8AAAAAGAAAAPz8APwAAgAAAAAAAPC/Ag0CK4cWGRlAAgjOGVHa2xLAAAAAABgAAAD8/AD8AAIAAAAAAADwvwIdyeU/pN8gQAJ0tRX7y+7VPwAAAAAYAAAA/PwA/AACAAAAAAAA8L8CQ61p3nGKHUACWMoyxLGuDcAAAAAAHAAAAPz8APwAAgAAAAAAAPC/Ah3J5T+k3yBAAgR4CyQofv0/AAAAABwAAAD8/AD8AAIAAAAAAADwvwKbd5yiI3kjQALVCWgibHjavwAAAAAYAAAA/PwA/AACAAAAAAAA8L8C4noUrkehIUACAU2EDU+vEMAAAAAAGAAAAPz8APwAAgAAAAAAAPC/Apt3nKIjeSNAAt21hHzQswRAAAAAABgAAAD8/AD8AAIAAAAAAADwvwIYJlMFoxImQAJ0tRX7y+7VPwAAAAAgAAAA/PwA/AACAAAAAAAA8L8Cm3ecoiN5I0ACmN2Th4VaEEAAAAAAGAAAAPz8APwAAgAAAAAAAPC/AhgmUwWjEiZAAgR4CyQofv0/AAAAACAAAAD8/AD8AAIAAAAAAADwvwKV1AloIqwoQALVCWgibHjavwAAAAAYAAAA/PwA/AACAAAAAAAA8L8CHcnlP6TfIEACjblrCflgE0AAAAAAGAAAAPz8APwAAgAAAAAAAPC/ApXUCWgirChAAhwN4C2QoP6/AAAAAAEgAAQBZQQAAAAAAAAAAAQIAWUEAAAAAAAAAAAEDAFlCAgAAAAAAAAACBABZQgMAAAAAAAAAAwUAWUEAAAAAAAAAAAMGAFlBAAAAAAAAAAAEBwBZQQAAAAAAAAAABQgAWUIAAAAAAAAAAAUJAFlCAAAAAAAAAAAFCgBZQQAAAAAAAAAABgsAWUEAAAAAAAAAAAcMAFlCAgAAAAAAAAAKDQBZQQAAAAAAAAAACw4AWUIDAAAAAAAAAA0PAFlCAAAAAAAAAAANAEQAWUEAAAAAAAAAAA4AREBZQQAAAAAAAAAAAEQARIBZQQAAAAAAAAAAAERARMBZQQAAAAAAAAAAAESARQBZQgMAAAAAAAAAAESARUBZQQAAAAAAAAAAAETARYBZQQAAAAAAAAAAAEUARcBZQQAAAAAAAAAAAEVARgBZQgMAAAAAAAAAAEXARkBZQQAAAAAAAAAAAEXARoBZQgIAAAAAAAAAAEYARsBZQQAAAAAAAAAAAEZARwBZQQAAAAAAAAAAAEbAR0BZQQAAAAAAAAAABAYAWUEAAAAAAAAAAAwOAFlBAAAAAAAAAAAARgBGgFlBAAAAAAAAAAAAAAAAA==</t>
        </r>
      </text>
    </comment>
    <comment ref="A293" authorId="0" shapeId="0" xr:uid="{E3AB6FB8-62F9-41E8-900F-D232D1187F23}">
      <text>
        <r>
          <rPr>
            <sz val="9"/>
            <color indexed="81"/>
            <rFont val="Segoe UI"/>
            <charset val="1"/>
          </rPr>
          <t>Insight iXlW00001C0000293R0080105531S00000584P01192LAocjBAQBF1NjaVRlZ2ljLmRhdGEuTW9sZWN1bGUBbwF/ARJTY2lUZWdpYy5Nb2xlY3VsZQAAAQFkAv5qAQAAAAIAAgEQAREAAAD8/AD8AAIAAAAAAADwvwAAAAAAABgAAAD8/AD8AAIAAAAAAADwvwACWvW52or9978AAAAAGAAAAPz8APwAAgAAAAAAAPC/Ag8LtaZ5x/S/AsRCrWne8QHAAAAAABgAAAD8/AD8AAIAAAAAAADwvwIPC7Wmecf0PwLEQq1p3vEBwAAAAAAYAAAA/PwA/AACAAAAAAAA8L8CDwu1pnnH9L8CcT0K16PwDcAAAAAAGAAAAPz8APwAAgAAAAAAAPC/Ag8LtaZ5x/Q/AnE9Ctej8A3AAAAAAAERAAAA/PwA/AACAAAAAAAA8L8C1zTvOEXHBMAC54wo7Q3+EcAAAAAAGAAAAPz8APwAAgAAAAAAAPC/AALnjCjtDf4RwAAAAAAYAAAA/PwA/AACAAAAAAAA8L8C1zTvOEXHBEAC54wo7Q3+EcAAAAAAIAAAAPz8APwAAgAAAAAAAPC/Al+6SQwCKw9AAnE9Ctej8A3AAAAAABwAAAD8/AD8AAIAAAAAAADwvwLXNO84RccEQAIiH/RsVv0XwAAAAAAYAAAA/PwA/AACAAAAAAAA8L8CX7pJDAIrD0ACSS7/If32GsAAAAAAGAAAAPz8APwAAgAAAAAAAPC/Al+6SQwCKw9AAtDVVuwveyDAAAAAABgAAAD8/AD8AAIAAAAAAADwvwJqb/CFyZQVQAJJLv8h/fYawAAAAAAYAAAA/PwA/AACAAAAAAAA8L8CQmDl0CKbEkAChetRuB7FFcAAAAAAGAAAAPz8APwAAgAAAAAAAPC/Al+6SQwCKw9AAu2ePCzUeiPAAAAAAAEQAAQBZQQAAAAAAAAAAAQIAWUIDAAAAAAAAAAEDAFlBAAAAAAAAAAACBABZQQAAAAAAAAAAAwUAWUIDAAAAAAAAAAQGAFlBAAAAAAAAAAAEBwBZQgIAAAAAAAAABQgAWUEAAAAAAAAAAAgJAFlCAAAAAAAAAAAICgBZQQAAAAAAAAAACgsAWUEAAAAAAAAAAAsMAFlBAAAAAAAAAAALDQBZQQAAAAAAAAAACw4AWUEAAAAAAAAAAAwPAFlDAAAAAAAAAAAFBwBZQQAAAAAAAAAAAAAAAA=</t>
        </r>
      </text>
    </comment>
    <comment ref="A294" authorId="0" shapeId="0" xr:uid="{7A5A31CA-63C5-4540-A354-3D84ED07DD3A}">
      <text>
        <r>
          <rPr>
            <sz val="9"/>
            <color indexed="81"/>
            <rFont val="Segoe UI"/>
            <charset val="1"/>
          </rPr>
          <t>Insight iXlW00001C0000294R0080105531S00000586P01284LAocjBAQBF1NjaVRlZ2ljLmRhdGEuTW9sZWN1bGUBbwF/ARJTY2lUZWdpYy5Nb2xlY3VsZQAAAQFkAv5qAQAAAAIAAgERARAAAAD8/AD8AAIAAAAAAADwvwAAAAAAABgAAAD8/AD8AAIAAAAAAADwvwLUvOMUHcn0vwICK4cW2c7nPwAAAAAYAAAA/PwA/AACAAAAAAAA8L8C1LzjFB3J9D8COiNKe4Mv6D8AAAAAIAAAAPz8APwAAgAAAAAAAPC/AtS84xQdyfS/Aoj029eB8wFAAAAAABwAAAD8/AD8AAIAAAAAAADwvwLUvOMUHckEwALtDb4wmSqIvwAAAAAYAAAA/PwA/AACAAAAAAAA8L8C1LzjFB3JBEAC7Q2+MJkqiD8AAAAAGAAAAPz8APwAAgAAAAAAAPC/Aj2bVZ+rLQ/AAssyxLEubuc/AAAAABgAAAD8/AD8AAIAAAAAAADwvwLUvOMUHckEwAKrz9VW7C/4vwAAAAAYAAAA/PwA/AACAAAAAAAA8L8CPZtVn6stD0ACVHQkl/+Q6D8AAAAAGAAAAPz8APwAAgAAAAAAAPC/AtS84xQdyQRAAnPXEvJBz/e/AAAAABgAAAD8/AD8AAIAAAAAAADwvwLwp8ZLN8kUwALtDb4wmSqYvwAAAAAYAAAA/PwA/AACAAAAAAAA8L8CPZtVn6stD8ACpHA9CtcjAsAAAAAAGAAAAPz8APwAAgAAAAAAAPC/AvCnxks3yRRAAu0NvjCZKpg/AAAAABgAAAD8/AD8AAIAAAAAAADwvwI9m1Wfqy0PQAJ6Nqs+V9sBwAAAAAAYAAAA/PwA/AACAAAAAAAA8L8CJZf/kH77GcACkzoBTYQN5z8AAAAAGAAAAPz8APwAAgAAAAAAAPC/Aj2bVZ+rLQ/AAmyad5yiIw7AAAAAABgAAAD8/AD8AAIAAAAAAADwvwLwp8ZLN8kUQAJYW7G/7J73vwAAAAABEQAEAWUEAAAAAAAAAAAACAFlBAAAAAAAAAAABAwBZQgAAAAAAAAAAAQQAWUEAAAAAAAAAAAIFAFlBAAAAAAAAAAAEBgBZQQAAAAAAAAAABAcAWUEAAAAAAAAAAAUIAFlCAwAAAAAAAAAFCQBZQQAAAAAAAAAABgoAWUEAAAAAAAAAAAcLAFlBAAAAAAAAAAAIDABZQQAAAAAAAAAACQ0AWUICAAAAAAAAAAoOAFlBAAAAAAAAAAALDwBZQQAAAAAAAAAADABEAFlCAgAAAAAAAAANAEQAWUEAAAAAAAAAAAAAAAA</t>
        </r>
      </text>
    </comment>
    <comment ref="A295" authorId="0" shapeId="0" xr:uid="{133F5361-DCDE-4C6D-9212-56D7A0764946}">
      <text>
        <r>
          <rPr>
            <sz val="9"/>
            <color indexed="81"/>
            <rFont val="Segoe UI"/>
            <charset val="1"/>
          </rPr>
          <t>Insight iXlW00001C0000295R0080105531S00000588P02064LAocjBAQBF1NjaVRlZ2ljLmRhdGEuTW9sZWN1bGUBbwF/ARJTY2lUZWdpYy5Nb2xlY3VsZQAAAQFkAv5qAQAAAAIAAgEcARAAAAD8/AD8AAIAAAAAAADwvwAAAAAAACAAAAD8/AD8AAIAAAAAAADwvwLyY8xdS8j0vwJYyjLEsS7oPwAAAAAgAAAA/PwA/AACAAAAAAAA8L8CWMoyxLEu6D8C8mPMXUvI9D8AAAAAHAAAAPz8APwAAgAAAAAAAPC/AvJjzF1LyPQ/AljKMsSxLui/AAAAABgAAAD8/AD8AAIAAAAAAADwvwJYyjLEsS7ovwLyY8xdS8j0vwAAAAAYAAAA/PwA/AACAAAAAAAA8L8CKjqSy3/IBEAAAAAAABgAAAD8/AD8AAIAAAAAAADwvwLtL7snDwsCwALyY8xdS8j0vwAAAAAYAAAA/PwA/AACAAAAAAAA8L8AAio6kst/yATAAAAAACAAAAD8/AD8AAIAAAAAAADwvwIqOpLLf8gEQAKt+lxtxf73PwAAAAAcAAAA/PwA/AACAAAAAAAA8L8CI2x4eqUsD0ACWMoyxLEu6L8AAAAAGAAAAPz8APwAAgAAAAAAAPC/Aq36XG3F/gfAAio6kst/yATAAAAAABgAAAD8/AD8AAIAAAAAAADwvwKt+lxtxf4HwAAAAAAAGAAAAPz8APwAAgAAAAAAAPC/AljKMsSxLui/AiNseHqlLA/AAAAAABgAAAD8/AD8AAIAAAAAAADwvwIqOpLLf8gUQALtDb4wmSqIvwAAAAAYAAAA/PwA/AACAAAAAAAA8L8C7S+7Jw8LAsACI2x4eqUsD8AAAAAAGAAAAPz8APwAAgAAAAAAAPC/AgK8BRIU/xHAAAAAAAAcAAAA/PwA/AACAAAAAAAA8L8CJlMFo5L6GUACchsN4C2Q6L8AAAAAHAAAAPz8APwAAgAAAAAAAPC/Aio6kst/yBRAApF++zpwzvc/AAAAABgAAAD8/AD8AAIAAAAAAADwvwJGtvP91PgUwALyY8xdS8j0PwAAAAAYAAAA/PwA/AACAAAAAAAA8L8CI2x4eqUsH0AC7Q2+MJkqmL8AAAAAGAAAAPz8APwAAgAAAAAAAPC/AiZTBaOS+hlAAtGzWfW52gFAAAAAACQAAAD8/AD8AAIAAAAAAADwvwLx9EpZhvgawALyY8xdS8j0PwAAAAAkAAAA/PwA/AACAAAAAAAA8L8C+1xtxf7yEcACKjqSy3/IBEAAAAAAJAAAAPz8APwAAgAAAAAAAPC/Aoqw4emV8hfAAio6kst/yARAAAAAACAAAAD8/AD8AAIAAAAAAADwvwIeOGdEaS8iQAJyGw3gLZDovwAAAAAcAAAA/PwA/AACAAAAAAAA8L8CI2x4eqUsH0ACdQKaCBue9z8AAAAAGAAAAPz8APwAAgAAAAAAAPC/AiZTBaOS+hlAAicxCKwc2g1AAAAAABgAAAD8/AD8AAIAAAAAAADwvwIeOGdEaS8iQAL77evAOSMCwAAAAAABHQAEAWUIAAAAAAAAAAAACAFlCAAAAAAAAAAAAAwBZQQAAAAAAAAAAAAQAWUEAAAAAAAAAAAMFAFlBAAAAAAAAAAAEBgBZQgMAAAAAAAAABAcAWUEAAAAAAAAAAAUIAFlCAAAAAAAAAAAFCQBZQQAAAAAAAAAABgoAWUEAAAAAAAAAAAYLAFlBAAAAAAAAAAAHDABZQgIAAAAAAAAACQ0AWUEAAAAAAAAAAAoOAFlCAgAAAAAAAAALDwBZQQAAAAAAAAAADQBEAFlCAwAAAAAAAAANAERAWUEAAAAAAAAAAA8ARIBZQQAAAAAAAAAAAEQARMBZQQAAAAAAAAAAAERARQBZQgMAAAAAAAAAAESARUBZQQAAAAAAAAAAAESARYBZQQAAAAAAAAAAAESARcBZQQAAAAAAAAAAAETARgBZQQAAAAAAAAAAAETARkBZQgIAAAAAAAAAAEUARoBZQQAAAAAAAAAAAEYARsBZQQAAAAAAAAAADA4AWUEAAAAAAAAAAABFAEZAWUEAAAAAAAAAAAAAAAA</t>
        </r>
      </text>
    </comment>
    <comment ref="A296" authorId="0" shapeId="0" xr:uid="{09EE433B-1870-4E8F-8EC6-064F3FAB78E6}">
      <text>
        <r>
          <rPr>
            <sz val="9"/>
            <color indexed="81"/>
            <rFont val="Segoe UI"/>
            <charset val="1"/>
          </rPr>
          <t>Insight iXlW00001C0000296R0080105531S00000590P01140LAocjBAQBF1NjaVRlZ2ljLmRhdGEuTW9sZWN1bGUBbwF/ARJTY2lUZWdpYy5Nb2xlY3VsZQAAAQFkAv5qAQAAAAIAAjwBEQAAAPz8APwAAgAAAAAAAPC/AAAAAAAAGAAAAPz8APwAAgAAAAAAAPC/AsiYu5aQD/W/AlyPwvUoXOe/AAAAABgAAAD8/AD8AAIAAAAAAADwvwIBb4EExQ8FwAIaUdobfGGiPwAAAAAgAAAA/PwA/AACAAAAAAAA8L8Cxm00gLdABcAC+THmriXk+D8AAAAAHAAAAPz8APwAAgAAAAAAAPC/AmU730+Nlw/AAkvqBDQRNua/AAAAABgAAAD8/AD8AAIAAAAAAADwvwIBb4EExQ8VwAJ2ApoIG56uPwAAAAAYDAAA/PwA/AACAAAAAAAA8L8CYxBYObTID8AChxbZzvdTAcAAAAAAGAAAAPz8APwAAgAAAAAAAPC/AgFvgQTFDxXAAvkx5q4l5Pg/AAAAABgAAAD8/AD8AAIAAAAAAADwvwLQ1VbsLzsawAJPQBNhw9PlvwAAAAAYAAAA/PwA/AACAAAAAAAA8L8CjGzn+6lxBcACak3zjlN0B8AAAAAAGAAAAPz8APwAAgAAAAAAAPC/AiS5/If0GxXAAiS5/If0WwfAAAAAABgAAAD8/AD8AAIAAAAAAADwvwLQ1VbsLzsawAIaUdobfGECQAAAAAAYAAAA/PwA/AACAAAAAAAA8L8Cnzws1JpmH8ACdgKaCBuerj8AAAAAGAAAAPz8APwAAgAAAAAAAPC/Ato9eVioNfa/Aj/G3LWEfA3AAAAAABgAAAD8/AD8AAIAAAAAAADwvwKfPCzUmmYfwAL5MeauJeT4PwAAAAA8AAQBZQQAAAAAAAAAAAQIAWUEAAAAAAAAAAAIDAFlCAAAAAAAAAAACBABZQQAAAAAAAAAABAUAWUEAAAAAAAAAAAQGAFlBAAAAAAAAAAAFBwBZQgMAAAAAAAAABQgAWUEAAAAAAAAAAAYJAFlBAAAAAAAAAAAGCgBZQQUAAAAAAAAABwsAWUEAAAAAAAAAAAgMAFlCAgAAAAAAAAAJDQBZQwAAAAAAAAAACw4AWUICAAAAAAAAAAwOAFlBAAAAAAAAAAAAAAAAA==</t>
        </r>
      </text>
    </comment>
    <comment ref="A297" authorId="0" shapeId="0" xr:uid="{FAC7024B-A90C-4400-92BD-0CCEFE1C7579}">
      <text>
        <r>
          <rPr>
            <sz val="9"/>
            <color indexed="81"/>
            <rFont val="Segoe UI"/>
            <charset val="1"/>
          </rPr>
          <t>Insight iXlW00001C0000297R0080105531S00000592P01684LAocjBAQBF1NjaVRlZ2ljLmRhdGEuTW9sZWN1bGUBbwF/ARJTY2lUZWdpYy5Nb2xlY3VsZQAAAQFkAv5qAQAAAAIAAgEWAREAAAD8/AD8AAIAAAAAAADwvwAAAAAAABgAAAD8/AD8AAIAAAAAAADwvwK+UpYhjnXdPwLvWkI+6Nn2vwAAAAAYAAAA/PwA/AACAAAAAAAA8L8Cnu+nxks3/j8Cnu+nxks3/r8AAAAAGAAAAPz8APwAAgAAAAAAAPC/Am+BBMWPMdu/ArsnDwu1JgXAAAAAABwAAAD8/AD8AAIAAAAAAADwvwKe76fGSzf+PwKamZmZmRkLwAAAAAAcAAAA/PwA/AACAAAAAAAA8L8CE/JBz2bVCEACkzoBTYQN8L8AAAAAHAAAAPz8APwAAgAAAAAAAPC/Ar5SliGOdd0/AgAi/fZ14A7AAAAAABgAAAD8/AD8AAIAAAAAAADwvwLW52or9pf+vwKppE5AE2EGwAAAAAAcAAAA/PwA/AACAAAAAAAA8L8CE/JBz2bVCEACDCQofoy53z8AAAAAGAAAAPz8APwAAgAAAAAAAPC/AsWPMXctIRJAAkLPZtXnave/AAAAABgAAAD8/AD8AAIAAAAAAADwvwJRa5p3nKLDvwKZTBWMSuoUwAAAAAAYAAAA/PwA/AACAAAAAAAA8L8CMLsnDws1BMAC0SLb+X6qEMAAAAAAGAAAAPz8APwAAgAAAAAAAPC/AsWPMXctIRJAAkeU9gZfmO4/AAAAABwAAAD8/AD8AAIAAAAAAADwvwLx9EpZhvgTQAIYldQJaCIHwAAAAAAYAAAA/PwA/AACAAAAAAAA8L8CJCh+jLmrFUAC0NVW7C+7z78AAAAAGAAAAPz8APwAAgAAAAAAAPC/AuQUHcnlP/q/AvMf0m9fhxXAAAAAABgAAAD8/AD8AAIAAAAAAADwvwLRItv5fuoPQAJw8IXJVAEQwAAAAAAYAAAA/PwA/AACAAAAAAAA8L8CwqikTkDTGUACu7iNBvCWCcAAAAAAGAAAAPz8APwAAgAAAAAAAPC/Agr5oGezqhtAAtDVVuwvu8+/AAAAABgAAAD8/AD8AAIAAAAAAADwvwKV9gZfmMwRQAIrhxbZzrcVwAAAAAAcAAAA/PwA/AACAAAAAAAA8L8C+ORhodbUIEAC0NVW7C+7z78AAAAAGAAAAPz8APwAAgAAAAAAAPC/AsBbIEHxoxNAAssyxLEubhvAAAAAAAEYAAQBZQQAAAAAAAAAAAQIAWUEAAAAAAAAAAAEDAFlCAwAAAAAAAAACBABZQgIAAAAAAAAAAgUAWUEAAAAAAAAAAAMGAFlBAAAAAAAAAAADBwBZQQAAAAAAAAAABQgAWUEAAAAAAAAAAAUJAFlBAAAAAAAAAAAGCgBZQQAAAAAAAAAABwsAWUEAAAAAAAAAAAgMAFlCAgAAAAAAAAAJDQBZQQAAAAAAAAAACQ4AWUIDAAAAAAAAAAoPAFlBAAAAAAAAAAANAEQAWUEAAAAAAAAAAA0AREBZQQAAAAAAAAAADgBEgFlBAAAAAAAAAAAARABEwFlBAAAAAAAAAAAARIBFAFlDAAAAAAAAAAAARMBFQFlDAAAAAAAAAAAEBgBZQQAAAAAAAAAACw8AWUEAAAAAAAAAAAwOAFlBAAAAAAAAAAAAAAAAA==</t>
        </r>
      </text>
    </comment>
    <comment ref="A298" authorId="0" shapeId="0" xr:uid="{70D0FE7C-1612-4C3D-9A93-C4FAD243A723}">
      <text>
        <r>
          <rPr>
            <sz val="9"/>
            <color indexed="81"/>
            <rFont val="Segoe UI"/>
            <charset val="1"/>
          </rPr>
          <t>Insight iXlW00001C0000298R0080105531S00000594P01920LAocjBAQBF1NjaVRlZ2ljLmRhdGEuTW9sZWN1bGUBbwF/ARJTY2lUZWdpYy5Nb2xlY3VsZQAAAQFkAv5qAQAAAAIAAgEaAREAAAD8/AD8AAIAAAAAAADwvwAAAAAAABgAAAD8/AD8AAIAAAAAAADwvwInwoanV8r0vwL+1HjpJjHovwAAAAAYAAAA/PwA/AACAAAAAAAA8L8CJ8KGp1fK9L8CseHplbIMAsAAAAAAGAAAAPz8APwAAgAAAAAAAPC/Au7rwDkjygTAAAAAAAAgAAAA/PwA/AACAAAAAAAA8L8AAuJYF7fRAAjAAAAAABgAAAD8/AD8AAIAAAAAAADwvwLu68A5I8oEwALiWBe30QAIwAAAAAAYAAAA/PwA/AACAAAAAAAA8L8CAk2EDU8vD8AC/tR46SYx6L8AAAAAGAAAAPz8APwAAgAAAAAAAPC/AAKqglFJnQASwAAAAAAYAAAA/PwA/AACAAAAAAAA8L8CAk2EDU8vD8ACseHplbIMAsAAAAAAJAAAAPz8APwAAgAAAAAAAPC/AgvXo3A9yhTAAAAAAAAYAAAA/PwA/AACAAAAAAAA8L8CJ8KGp1fK9D8CSp2AJsIGFcAAAAAAGAAAAPz8APwAAgAAAAAAAPC/AgvXo3A9yhTAAuJYF7fRAAjAAAAAACAAAAD8/AD8AAIAAAAAAADwvwLu68A5I8oEQAKqglFJnQASwAAAAAAgAAAA/PwA/AACAAAAAAAA8L8CJ8KGp1fK9D8CZohjXdwGG8AAAAAAHAAAAPz8APwAAgAAAAAAAPC/Ap6AJsKGZxXAAoc41sVt9BHAAAAAABgAAAD8/AD8AAIAAAAAAADwvwK+wRcmU0UawAKD4seYuxYDwAAAAAAYAAAA/PwA/AACAAAAAAAA8L8C7uvAOSPKBEAC/0P67esAHsAAAAAAHAAAAPz8APwAAgAAAAAAAPC/AqVOQBNhQxvAAq2L22gALxPAAAAAAAERAAAA/PwA/AACAAAAAAAA8L8C5BQdyeV/G8ACzhlR2ht87b8AAAAAGAAAAPz8APwAAgAAAAAAAPC/AkVpb/CFSR7AAka28/3U+AvAAAAAABgAAAD8/AD8AAIAAAAAAADwvwLu68A5I8oEQAIcDeAtkAAiwAAAAAAYAAAA/PwA/AACAAAAAAAA8L8C1QloImy4HcACYHZPHhaqGMAAAAAAIAAAAPz8APwAAgAAAAAAAPC/AjtwzojSHiLAAiBj7lpCvgrAAAAAABgAAAD8/AD8AAIAAAAAAADwvwJF2PD0SlkjwAJyGw3gLZD/vwAAAAAkAAAA/PwA/AACAAAAAAAA8L8C3pOHhVpTJsACJnUCmggb/b8AAAAAJAAAAPz8APwAAgAAAAAAAPC/AsHKoUW2kyHAAv7UeOkmMei/AAAAAAEbAAQBZQQAAAAAAAAAAAQIAWUICAAAAAAAAAAEDAFlBAAAAAAAAAAACBABZQQAAAAAAAAAAAgUAWUEAAAAAAAAAAAMGAFlCAwAAAAAAAAAEBwBZQQAAAAAAAAAABQgAWUIDAAAAAAAAAAYJAFlBAAAAAAAAAAAHCgBZQQAAAAAAAAAACAsAWUEAAAAAAAAAAAoMAFlCAAAAAAAAAAAKDQBZQQAAAAAAAAAACw4AWUIDAAAAAAAAAAsPAFlBAAAAAAAAAAANAEQAWUEAAAAAAAAAAA4AREBZQQAAAAAAAAAADwBEgFlBAAAAAAAAAAAPAETAWUIDAAAAAAAAAABEAEUAWUEAAAAAAAAAAABEQEVAWUEAAAAAAAAAAABEwEWAWUEAAAAAAAAAAABFgEXAWUEAAAAAAAAAAABFwEYAWUEAAAAAAAAAAABFwEZAWUEAAAAAAAAAAAYIAFlBAAAAAAAAAAAAREBEwFlBAAAAAAAAAAAAAAAAA==</t>
        </r>
      </text>
    </comment>
    <comment ref="A299" authorId="0" shapeId="0" xr:uid="{C5E87EC8-C7B0-48FF-8E25-9384F6DF9DEE}">
      <text>
        <r>
          <rPr>
            <sz val="9"/>
            <color indexed="81"/>
            <rFont val="Segoe UI"/>
            <charset val="1"/>
          </rPr>
          <t>Insight iXlW00001C0000299R0080105531S00000596P01744LAocjBAQBF1NjaVRlZ2ljLmRhdGEuTW9sZWN1bGUBbwF/ARJTY2lUZWdpYy5Nb2xlY3VsZQAAAQFkAv5qAQAAAAIAAgEYARAAAAD8/AD8AAIAAAAAAADwvwAAAAAAACAAAAD8/AD8AAIAAAAAAADwvwI2XrpJDAL4vwAAAAAAIAAAAPz8APwAAgAAAAAAAPC/AAI2XrpJDAL4PwAAAAAYAAAA/PwA/AACAAAAAAAA8L8AAjZeukkMAvi/AAAAABgAAAD8/AD8AAIAAAAAAADwvwI2XrpJDAL4PwAAAAAAGAAAAPz8APwAAgAAAAAAAPC/Agkbnl4py/S/AoV80LNZ9QHAAAAAABgAAAD8/AD8AAIAAAAAAADwvwIJG55eKcv0PwKFfNCzWfUBwAAAAAAYAAAA/PwA/AACAAAAAAAA8L8CQfFjzF3LBMACNl66SQwC+L8AAAAAGAAAAPz8APwAAgAAAAAAAPC/Agkbnl4py/S/AqCrrdhf9g3AAAAAABgAAAD8/AD8AAIAAAAAAADwvwIJG55eKcv0PwKgq63YX/YNwAAAAAAgAAAA/PwA/AACAAAAAAAA8L8CQfFjzF3LBMAAAAAAABgAAAD8/AD8AAIAAAAAAADwvwLG/rJ78jAPwALLEMe6uA0CwAAAAAAYAAAA/PwA/AACAAAAAAAA8L8AAqjGSzeJARLAAAAAABgAAAD8/AD8AAIAAAAAAADwvwJB8WPMXcsEQAKoxks3iQESwAAAAAAYAAAA/PwA/AACAAAAAAAA8L8ChxbZzvcTFcACZohjXdxG+r8AAAAAGAAAAPz8APwAAgAAAAAAAPC/AvYoXI/CNRDAAqCrrdhf9g3AAAAAACQAAAD8/AD8AAIAAAAAAADwvwLG/rJ78jAPQAKgq63YX/YNwAAAAAAkAAAA/PwA/AACAAAAAAAA8L8CQfFjzF3LBEACNl66SQwCGMAAAAAAJAAAAPz8APwAAgAAAAAAAPC/Asb+snvyMA9AAl1txf6y+xTAAAAAACAAAAD8/AD8AAIAAAAAAADwvwKRfvs6cE4WwAIf9GxWfa7GvwAAAAAcAAAA/PwA/AACAAAAAAAA8L8CK6kT0EQYGcACaERpb/AFBsAAAAAAHAAAAPz8APwAAgAAAAAAAPC/Am6jAbwFEhbAAvYoXI/CNRDAAAAAABgAAAD8/AD8AAIAAAAAAADwvwK30QDeAokHwAKPU3Qkl/8SwAAAAAAYAAAA/PwA/AACAAAAAAAA8L8CseHplbIMH8ACQfFjzF3LBMAAAAAAARkABAFlCAAAAAAAAAAAAAgBZQgAAAAAAAAAAAAMAWUEAAAAAAAAAAAAEAFlBAAAAAAAAAAADBQBZQgIAAAAAAAAAAwYAWUEAAAAAAAAAAAUHAFlBAAAAAAAAAAAFCABZQQAAAAAAAAAABgkAWUIDAAAAAAAAAAcKAFlCAAAAAAAAAAAHCwBZQQAAAAAAAAAACAwAWUICAAAAAAAAAAkNAFlBAAAAAAAAAAALDgBZQgIAAAAAAAAACw8AWUEAAAAAAAAAAA0ARABZQQAAAAAAAAAADQBEQFlBAAAAAAAAAAANAESAWUEAAAAAAAAAAA4ARMBZQQAAAAAAAAAADgBFAFlBAAAAAAAAAAAPAEVAWUICAAAAAAAAAA8ARYBZQQAAAAAAAAAAAEUARcBZQQAAAAAAAAAACQwAWUEAAAAAAAAAAABFAEVAWUEAAAAAAAAAAAAAAAA</t>
        </r>
      </text>
    </comment>
    <comment ref="A300" authorId="0" shapeId="0" xr:uid="{BC3DF49D-B992-4CFB-80FB-448D2C076F28}">
      <text>
        <r>
          <rPr>
            <sz val="9"/>
            <color indexed="81"/>
            <rFont val="Segoe UI"/>
            <charset val="1"/>
          </rPr>
          <t>Insight iXlW00001C0000300R0080105531S00000598P02096LAocjBAQBF1NjaVRlZ2ljLmRhdGEuTW9sZWN1bGUBbwF/ARJTY2lUZWdpYy5Nb2xlY3VsZQAAAQFkAv5qAQAAAAIAAgEcAREAAAD8/AD8AAIAAAAAAADwvwAAAAAAABgAAAD8/AD8AAIAAAAAAADwvwACGLfRAN4C+L8AAAAAGAAAAPz8APwAAgAAAAAAAPC/AutztRX7y/S/AmfV52or9gHAAAAAABgAAAD8/AD8AAIAAAAAAADwvwLrc7UV+8v0PwJn1edqK/YBwAAAAAAYAAAA/PwA/AACAAAAAAAA8L8CJEp7gy/MBMACGLfRAN4C+L8AAAAAGAAAAPz8APwAAgAAAAAAAPC/AutztRX7y/S/AvOwUGua9w3AAAAAABgAAAD8/AD8AAIAAAAAAADwvwLrc7UV+8v0PwLzsFBrmvcNwAAAAAAgAAAA/PwA/AACAAAAAAAA8L8CJEp7gy/MBMAAAAAAABgAAAD8/AD8AAIAAAAAAADwvwIZBFYOLTIPwAJn1edqK/YBwAAAAAAYAAAA/PwA/AACAAAAAAAA8L8AAlJJnYAmAhLAAAAAAAERAAAA/PwA/AACAAAAAAAA8L8CJEp7gy/MBEACUkmdgCYCEsAAAAAAGAAAAPz8APwAAgAAAAAAAPC/Ak2EDU+vFBXAAixlGeJYF/q/AAAAABgAAAD8/AD8AAIAAAAAAADwvwKgq63YXzYQwALl8h/Sb98NwAAAAAAgAAAA/PwA/AACAAAAAAAA8L8CkML1KFxPFsACQRNhw9Mrxb8AAAAAHAAAAPz8APwAAgAAAAAAAPC/AintDb4wGRnAAjzfT42X7gXAAAAAABwAAAD8/AD8AAIAAAAAAADwvwJR/Bhz1xIWwAKZTBWMSioQwAAAAAAYAAAA/PwA/AACAAAAAAAA8L8CmioYldSJB8ACTmIQWDn0EsAAAAAAARAAAAD8/AD8AAIAAAAAAADwvwIQC7WmeQccwALyQc9m1efSPwAAAAAYAAAA/PwA/AACAAAAAAAA8L8C6Pup8dINH8AC3bWEfNCzBMAAAAAAIAAAAPz8APwAAgAAAAAAAPC/AsgpOpLL3yDAAqXfvg6cM+g/AAAAACAAAAD8/AD8AAIAAAAAAADwvwLJBz2bVd8dwAKDUUmdgCbyvwAAAAAYAAAA/PwA/AACAAAAAAAA8L8COiNKe4MvGsACfPKwUGua+z8AAAAAGAAAAPz8APwAAgAAAAAAAPC/AhaMSuoENB7AAuSlm8QgsAZAAAAAABgAAAD8/AD8AAIAAAAAAADwvwKlvcEXJlMUwALD9Shcj0IAQAAAAAAYAAAA/PwA/AACAAAAAAAA8L8CXY/C9ShcHMACchsN4C0QEUAAAAAAGAAAAPz8APwAAgAAAAAAAPC/AtDVVuwvexLAAsOGp1fKsgtAAAAAABgAAAD8/AD8AAIAAAAAAADwvwKsPldbsX8WwAKYbhKDwEoSQAAAAAAYAAAA/PwA/AACAAAAAAAA8L8C8kHPZtWnFMACNKK0N/gCGEAAAAAAAR4ABAFlBAAAAAAAAAAABAgBZQgIAAAAAAAAAAQMAWUEAAAAAAAAAAAIEAFlBAAAAAAAAAAACBQBZQQAAAAAAAAAAAwYAWUIDAAAAAAAAAAQHAFlCAAAAAAAAAAAECABZQQAAAAAAAAAABQkAWUICAAAAAAAAAAYKAFlBAAAAAAAAAAAICwBZQgIAAAAAAAAACAwAWUEAAAAAAAAAAAsNAFlBAAAAAAAAAAALDgBZQQAAAAAAAAAADA8AWUICAAAAAAAAAAwARABZQQAAAAAAAAAADQBEQFlBAAAAAAAAAAAOAESAWUEAAAAAAAAAAABEQETAWUIAAAAAAAAAAABEQEUAWUIAAAAAAAAAAABEQEVAWUEAAAAAAAAAAABFQEWAWUIDAAAAAAAAAABFQEXAWUEAAAAAAAAAAABFgEYAWUEAAAAAAAAAAABFwEZAWUICAAAAAAAAAABGAEaAWUIDAAAAAAAAAABGgEbAWUEAAAAAAAAAAAYJAFlBAAAAAAAAAAAODwBZQQAAAAAAAAAAAEZARoBZQQAAAAAAAAAAAAAAAA=</t>
        </r>
      </text>
    </comment>
    <comment ref="A301" authorId="0" shapeId="0" xr:uid="{AB7BB798-4602-49F1-8229-779EB508D34F}">
      <text>
        <r>
          <rPr>
            <sz val="9"/>
            <color indexed="81"/>
            <rFont val="Segoe UI"/>
            <charset val="1"/>
          </rPr>
          <t>Insight iXlW00001C0000301R0080105531S00000600P02076LAocjBAQBF1NjaVRlZ2ljLmRhdGEuTW9sZWN1bGUBbwF/ARJTY2lUZWdpYy5Nb2xlY3VsZQAAAQFkAv5qAQAAAAIAAgEcARAAAAD8/AD8AAIAAAAAAADwvwAAAAAAACAAAAD8/AD8AAIAAAAAAADwvwJcIEHxY8z0vwKl374OnDPoPwAAAAAgAAAA/PwA/AACAAAAAAAA8L8Cbef7qfHS5z8CXCBB8WPM9D8AAAAAHAAAAPz8APwAAgAAAAAAAPC/AlwgQfFjzPQ/AqXfvg6cM+i/AAAAABgAAAD8/AD8AAIAAAAAAADwvwKl374OnDPovwJcIEHxY8z0vwAAAAAYAAAA/PwA/AACAAAAAAAA8L8CXCBB8WPMBEAAAAAAABwAAAD8/AD8AAIAAAAAAADwvwKDUUmdgCbCvwLoaiv2l10FwAAAAAAYAAAA/PwA/AACAAAAAAAA8L8CoKut2F/2AcACqMZLN4lB978AAAAAIAAAAPz8APwAAgAAAAAAAPC/AlwgQfFjzARAAoljXdxGA/g/AAAAABwAAAD8/AD8AAIAAAAAAADwvwKKsOHplTIPQAJt5/up8dLnvwAAAAAcAAAA/PwA/AACAAAAAAAA8L8CfIMvTKYK9L8Cnzws1JpmDcAAAAAAGAAAAPz8APwAAgAAAAAAAPC/ApQYBFYOLfU/AjQRNjy90gfAAAAAABgAAAD8/AD8AAIAAAAAAADwvwJXfa62Yv8JwAJ0tRX7y+7VvwAAAAAYAAAA/PwA/AACAAAAAAAA8L8C7FG4HoVrBMACtoR80LNZB8AAAAAAGAAAAPz8APwAAgAAAAAAAPC/AkA1XrpJzBRAAAAAAAAgAAAA/PwA/AACAAAAAAAA8L8CrK3YX3ZPBsACE2HD0ytl8T8AAAAAIAAAAPz8APwAAgAAAAAAAPC/AlyPwvUo3BLAAutztRX7y+S/AAAAABwAAAD8/AD8AAIAAAAAAADwvwJANV66ScwUQAKJY13cRgP4PwAAAAAcAAAA/PwA/AACAAAAAAAA8L8CV32utmL/GUACbef7qfHS578AAAAAGAAAAPz8APwAAgAAAAAAAPC/AlTjpZvE4BbAAld9rrZif90/AAAAABgAAAD8/AD8AAIAAAAAAADwvwJXfa62Yv8ZQAKgq63YX/YBQAAAAAAYAAAA/PwA/AACAAAAAAAA8L8CbsX+snsyH0AAAAAAABgAAAD8/AD8AAIAAAAAAADwvwIFNBE2PL0cwAJiMlUwKqnDPwAAAAAgAAAA/PwA/AACAAAAAAAA8L8CV32utmL/GUACK4cW2c73DUAAAAAAGAAAAPz8APwAAgAAAAAAAPC/Am7F/rJ7Mh9AAoljXdxGA/g/AAAAACAAAAD8/AD8AAIAAAAAAADwvwLChqdXyjIiQAKl374OnDPovwAAAAAYAAAA/PwA/AACAAAAAAAA8L8CQDVeuknMFEACih9j7loCEkAAAAAAGAAAAPz8APwAAgAAAAAAAPC/AsKGp1fKMiJAAq5p3nGKDgLAAAAAAAEdAAQBZQgAAAAAAAAAAAAIAWUIAAAAAAAAAAAADAFlBAAAAAAAAAAAABABZQQAAAAAAAAAAAwUAWUEAAAAAAAAAAAQGAFlBAAAAAAAAAAAEBwBZQgIAAAAAAAAABQgAWUIAAAAAAAAAAAUJAFlBAAAAAAAAAAAGCgBZQQAAAAAAAAAABgsAWUEAAAAAAAAAAAcMAFlBAAAAAAAAAAAHDQBZQQAAAAAAAAAACQ4AWUEAAAAAAAAAAAwPAFlCAAAAAAAAAAAMAEQAWUEAAAAAAAAAAA4AREBZQgMAAAAAAAAADgBEgFlBAAAAAAAAAAAARABEwFlBAAAAAAAAAAAAREBFAFlBAAAAAAAAAAAARIBFQFlCAwAAAAAAAAAARMBFgFlBAAAAAAAAAAAARQBFwFlBAAAAAAAAAAAARQBGAFlCAgAAAAAAAAAARUBGQFlBAAAAAAAAAAAARcBGgFlBAAAAAAAAAAAARkBGwFlBAAAAAAAAAAAKDQBZQgIAAAAAAAAAAEVARgBZQQAAAAAAAAAAAAAAAA=</t>
        </r>
      </text>
    </comment>
    <comment ref="A302" authorId="0" shapeId="0" xr:uid="{8679CD44-0EEA-4B5F-AFDA-C45568EED49E}">
      <text>
        <r>
          <rPr>
            <sz val="9"/>
            <color indexed="81"/>
            <rFont val="Segoe UI"/>
            <charset val="1"/>
          </rPr>
          <t>Insight iXlW00001C0000302R0080105531S00000602P02020LAocjBAQBF1NjaVRlZ2ljLmRhdGEuTW9sZWN1bGUBbwF/ARJTY2lUZWdpYy5Nb2xlY3VsZQAAAQFkAv5qAQAAAAIAAgEbAREAAAD8/AD8AAIAAAAAAADwvwAAAAAAABgAAAD8/AD8AAIAAAAAAADwvwAC3GgAb4EE+L8AAAAAGAAAAPz8APwAAgAAAAAAAPC/Aq8l5IOezfS/Arraiv1l9wHAAAAAABgAAAD8/AD8AAIAAAAAAADwvwKvJeSDns30PwK62or9ZfcBwAAAAAAYAAAA/PwA/AACAAAAAAAA8L8CryXkg57NBMAC3GgAb4EE+L8AAAAAGAAAAPz8APwAAgAAAAAAAPC/Aq8l5IOezfS/AigPC7Wm+Q3AAAAAABgAAAD8/AD8AAIAAAAAAADwvwKvJeSDns30PwIoDwu1pvkNwAAAAAAgAAAA/PwA/AACAAAAAAAA8L8CryXkg57NBMAAAAAAABgAAAD8/AD8AAIAAAAAAADwvwKHONbFbTQPwAK62or9ZfcBwAAAAAAYAAAA/PwA/AACAAAAAAAA8L8AAsE5I0p7AxLAAAAAAAERAAAA/PwA/AACAAAAAAAA8L8CryXkg57NBEACwTkjSnsDEsAAAAAAGAAAAPz8APwAAgAAAAAAAPC/AvVKWYY4FhXAAvAWSFD8GPq/AAAAABgAAAD8/AD8AAIAAAAAAADwvwLWxW00gDcQwAIaUdobfOENwAAAAAAgAAAA/PwA/AACAAAAAAAA8L8COIlBYOVQFsACyXa+nxovxb8AAAAAHAAAAPz8APwAAgAAAAAAAPC/AiZ1ApoIGxnAAse6uI0G8AXAAAAAABwAAAD8/AD8AAIAAAAAAADwvwL5wmSqYBQWwALPZtXnaisQwAAAAAAYAAAA/PwA/AACAAAAAAAA8L8ClrIMcayLB8ACvVKWIY71EsAAAAAAGAAAAPz8APwAAgAAAAAAAPC/Ail+jLlrCRzAArfz/dR46dI/AAAAABgAAAD8/AD8AAIAAAAAAADwvwJWMCqpExAfwAKhZ7Pqc7UEwAAAAAAYAAAA/PwA/AACAAAAAAAA8L8Ca7x0kxhEHcACdnEbDeAt/D8AAAAAIAAAAPz8APwAAgAAAAAAAPC/AuBPjZdu0hjAAhwN4C2QIAZAAAAAABgAAAD8/AD8AAIAAAAAAADwvwKu2F92T34hwAJmiGNd3MYBQAAAAAAYAAAA/PwA/AACAAAAAAAA8L8CggTFjzG3I8ACexSuR+F68z8AAAAAGAAAAPz8APwAAgAAAAAAAPC/Al1txf6yGyLAAqqCUUmdgA1AAAAAABgAAAD8/AD8AAIAAAAAAADwvwL6fmq8dJMmwALRs1n1udr6PwAAAAAYAAAA/PwA/AACAAAAAAAA8L8C1udqK/b3JMACR5T2Bl+YEEAAAAAAGAAAAPz8APwAAgAAAAAAAPC/AhueXinLMCfAAi3UmuYdJwlAAAAAAAEdAAQBZQQAAAAAAAAAAAQIAWUICAAAAAAAAAAEDAFlBAAAAAAAAAAACBABZQQAAAAAAAAAAAgUAWUEAAAAAAAAAAAMGAFlCAwAAAAAAAAAEBwBZQgAAAAAAAAAABAgAWUEAAAAAAAAAAAUJAFlCAgAAAAAAAAAGCgBZQQAAAAAAAAAACAsAWUICAAAAAAAAAAgMAFlBAAAAAAAAAAALDQBZQQAAAAAAAAAACw4AWUEAAAAAAAAAAAwPAFlCAgAAAAAAAAAMAEQAWUEAAAAAAAAAAA0AREBZQQAAAAAAAAAADgBEgFlBAAAAAAAAAAAAREBEwFlBAAAAAAAAAAAARMBFAFlCAAAAAAAAAAAARMBFQFlBAAAAAAAAAAAARUBFgFlCAwAAAAAAAAAARUBFwFlBAAAAAAAAAAAARYBGAFlBAAAAAAAAAAAARcBGQFlCAgAAAAAAAAAARgBGgFlCAgAAAAAAAAAGCQBZQQAAAAAAAAAADg8AWUEAAAAAAAAAAABGQEaAWUEAAAAAAAAAAAAAAAA</t>
        </r>
      </text>
    </comment>
    <comment ref="A303" authorId="0" shapeId="0" xr:uid="{0B861D4E-BD4F-4B8E-82DF-F397B6C79015}">
      <text>
        <r>
          <rPr>
            <sz val="9"/>
            <color indexed="81"/>
            <rFont val="Segoe UI"/>
            <charset val="1"/>
          </rPr>
          <t>Insight iXlW00001C0000303R0080105531S00000604P03344LAocjBAQBF1NjaVRlZ2ljLmRhdGEuTW9sZWN1bGUBbwF/ARJTY2lUZWdpYy5Nb2xlY3VsZQAAAQFkAv5qAQAAAAIAAgEtIAAAAPz8APwAAgAAAAAAAPC/AAAAAAAAGAAAAPz8APwAAgAAAAAAAPC/AvJjzF1LyPQ/AljKMsSxLug/AAAAACAAAAD8/AD8AAIAAAAAAADwvwLyY8xdS8j0PwK0WfW52goCQAAAAAAYAAAA/PwA/AACAAAAAAAA8L8CuY0G8BbIBEAAAAAAABwAAAD8/AD8AAIAAAAAAADwvwACPE7RkVz+B0AAAAAAGAAAAPz8APwAAgAAAAAAAPC/ArK/7J48LA9AAljKMsSxLug/AAAAABgAAAD8/AD8AAIAAAAAAADwvwK5jQbwFsgEQAI8TtGRXP73vwAAAAAYAAAA/PwA/AACAAAAAAAA8L8AAq36XG3F/hFAAAAAACAAAAD8/AD8AAIAAAAAAADwvwKyv+yePCwPQAK0WfW52goCQAAAAAAYAAAA/PwA/AACAAAAAAAA8L8CuY0G8BbIFEAAAAAAACAAAAD8/AD8AAIAAAAAAADwvwLyY8xdS8j0PwKmm8QgsPIBwAAAAAAYAAAA/PwA/AACAAAAAAAA8L8Csr/snjwsD0ACppvEILDyAcAAAAAAGAAAAPz8APwAAgAAAAAAAPC/AvJjzF1LyPS/AvhT46WbBBVAAAAAABgAAAD8/AD8AAIAAAAAAADwvwLyY8xdS8j0PwL4U+OlmwQVQAAAAAAYAAAA/PwA/AACAAAAAAAA8L8CuY0G8BbIFEACPE7RkVz+B0AAAAAAGAAAAPz8APwAAgAAAAAAAPC/ArmNBvAWyBRAAjxO0ZFc/ve/AAAAABgAAAD8/AD8AAIAAAAAAADwvwLyY8xdS8j0PwLEQq1p3vENwAAAAAAYAAAA/PwA/AACAAAAAAAA8L8C8mPMXUvI9L8Ch6dXyjIEG0AAAAAAGAAAAPz8APwAAgAAAAAAAPC/ArmNBvAWyATAAq36XG3F/hFAAAAAABgAAAD8/AD8AAIAAAAAAADwvwLyY8xdS8j0PwKHp1fKMgQbQAAAAAAYAAAA/PwA/AACAAAAAAAA8L8CuY0G8BbIBEACrfpcbcX+EUAAAAAAHAAAAPz8APwAAgAAAAAAAPC/ArWmeccp+hlAArRZ9bnaCgJAAAAAABwAAAD8/AD8AAIAAAAAAADwvwK5jQbwFsgUQAKt+lxtxf4RQAAAAAAcAAAA/PwA/AACAAAAAAAA8L8AAq36XG3F/hHAAAAAABwAAAD8/AD8AAIAAAAAAADwvwK5jQbwFsgEQAKt+lxtxf4RwAAAAAAYAAAA/PwA/AACAAAAAAAA8L8CuY0G8BbIBMAC0gDeAgkKHkAAAAAAGAAAAPz8APwAAgAAAAAAAPC/ArK/7J48LA/AAvhT46WbBBVAAAAAABgAAAD8/AD8AAIAAAAAAADwvwK5jQbwFsgEQALSAN4CCQoeQAAAAAAYAAAA/PwA/AACAAAAAAAA8L8Csr/snjwsD0AC+FPjpZsEFUAAAAAAGAAAAPz8APwAAgAAAAAAAPC/ArK/7J48LB9AAjxO0ZFc/gdAAAAAABgAAAD8/AD8AAIAAAAAAADwvwK1pnnHKfoZQAL4U+OlmwQVQAAAAAAYAAAA/PwA/AACAAAAAAAA8L8AAjxO0ZFc/hfAAAAAABgAAAD8/AD8AAIAAAAAAADwvwK5jQbwFsgEQAI8TtGRXP4XwAAAAAAYAAAA/PwA/AACAAAAAAAA8L8Csr/snjwsD8ACh6dXyjIEG0AAAAAAGAAAAPz8APwAAgAAAAAAAPC/ArK/7J48LA9AAoenV8oyBBtAAAAAACAAAAD8/AD8AAIAAAAAAADwvwLJdr6fGi8iQAK0WfW52goCQAAAAAAYAAAA/PwA/AACAAAAAAAA8L8Csr/snjwsH0ACrfpcbcX+EUAAAAAAIAAAAPz8APwAAgAAAAAAAPC/ArWmeccp+hlAAoenV8oyBBtAAAAAACAAAAD8/AD8AAIAAAAAAADwvwLyY8xdS8j0vwKASL99HfgawAAAAAAYAAAA/PwA/AACAAAAAAAA8L8C8mPMXUvI9D8CgEi/fR34GsAAAAAAIAAAAPz8APwAAgAAAAAAAPC/ArK/7J48LA9AAoBIv30d+BrAAAAAABgAAAD8/AD8AAIAAAAAAADwvwLJdr6fGi8iQAJYyjLEsS7oPwAAAAAYAAAA/PwA/AACAAAAAAAA8L8CuY0G8BbIFEAC0gDeAgkKHkAAAAAAGAAAAPz8APwAAgAAAAAAAPC/ArmNBvAWyATAAjxO0ZFc/hfAAAAAABgAAAD8/AD8AAIAAAAAAADwvwK5jQbwFsgUQAI8TtGRXP4XwAAAAAABMQAEAWUIAAAAAAAAAAAECAFlBAAAAAAAAAAABAwBZQQAAAAAAAAAAAgQAWUEAAAAAAAAAAAMFAFlCAgAAAAAAAAADBgBZQQAAAAAAAAAABAcAWUIDAAAAAAAAAAUIAFlBAAAAAAAAAAAFCQBZQQAAAAAAAAAABgoAWUEAAAAAAAAAAAYLAFlCAgAAAAAAAAAHDABZQQAAAAAAAAAABw0AWUEAAAAAAAAAAAgOAFlBAAAAAAAAAAAJDwBZQgIAAAAAAAAACgBEAFlBAAAAAAAAAAAMAERAWUIDAAAAAAAAAAwARIBZQQAAAAAAAAAADQBEwFlCAwAAAAAAAAANAEUAWUEAAAAAAAAAAA4ARUBZQgMAAAAAAAAADgBFgFlBAAAAAAAAAAAARABFwFlCAwAAAAAAAAAARABGAFlBAAAAAAAAAAAAREBGQFlBAAAAAAAAAAAARIBGgFlCAgAAAAAAAAAARMBGwFlBAAAAAAAAAAAARQBHAFlCAgAAAAAAAAAARUBHQFlBAAAAAAAAAAAARYBHgFlCAwAAAAAAAAAARcBHwFlBAAAAAAAAAAAARgBIAFlCAwAAAAAAAAAARkBIQFlCAgAAAAAAAAAARsBIgFlCAgAAAAAAAAAAR0BIwFlBAAAAAAAAAAAAR0BJAFlCAgAAAAAAAAAAR4BJQFlBAAAAAAAAAAAAR8BJgFlBAAAAAAAAAAAAR8BJwFlCAgAAAAAAAAAASABKAFlBAAAAAAAAAAAASMBKQFlBAAAAAAAAAAAASUBKgFlBAAAAAAAAAAAASYBKwFlBAAAAAAAAAAAASgBLAFlBAAAAAAAAAAALDwBZQQAAAAAAAAAAAEaASEBZQQAAAAAAAAAAAEcASIBZQQAAAAAAAAAAAEeASQBZQQAAAAAAAAAAAEgAScBZQQAAAAAAAAAAAAAAAA=</t>
        </r>
      </text>
    </comment>
    <comment ref="A304" authorId="0" shapeId="0" xr:uid="{A63FC39E-34CC-49B7-B6D1-708FE80B5E25}">
      <text>
        <r>
          <rPr>
            <sz val="9"/>
            <color indexed="81"/>
            <rFont val="Segoe UI"/>
            <charset val="1"/>
          </rPr>
          <t>Insight iXlW00001C0000304R0080105531S00000606P01688LAocjBAQBF1NjaVRlZ2ljLmRhdGEuTW9sZWN1bGUBbwF/ARJTY2lUZWdpYy5Nb2xlY3VsZQAAAQFkAv5qAQAAAAIAAgEXARAAAAD8/AD8AAIAAAAAAADwvwAAAAAAABgAAAD8/AD8AAIAAAAAAADwvwACWvW52or9978AAAAAIAAAAPz8APwAAgAAAAAAAPC/Ag8LtaZ5x/Q/AgrXo3A9CgLAAAAAABwAAAD8/AD8AAIAAAAAAADwvwIPC7Wmecf0vwIK16NwPQoCwAAAAAAYAAAA/PwA/AACAAAAAAAA8L8CDwu1pnnHBEACWvW52or9978AAAAAGAAAAPz8APwAAgAAAAAAAPC/Ag8LtaZ5xwTAAlr1udqK/fe/AAAAABgAAAD8/AD8AAIAAAAAAADwvwIPC7Wmecf0vwK30QDeAgkOwAAAAAAYAAAA/PwA/AACAAAAAAAA8L8Cl5APejYrD0ACCtejcD0KAsAAAAAAGAAAAPz8APwAAgAAAAAAAPC/Ag8LtaZ5xwRAAAAAAAAcAAAA/PwA/AACAAAAAAAA8L8CDwu1pnnHBMAAAAAAABgAAAD8/AD8AAIAAAAAAADwvwKXkA96NisPwAIK16NwPQoCwAAAAAAYAAAA/PwA/AACAAAAAAAA8L8CDwu1pnnHFEACWvW52or9978AAAAAGAAAAPz8APwAAgAAAAAAAPC/ApeQD3o2Kw9AAj55WKg1zec/AAAAABgAAAD8/AD8AAIAAAAAAADwvwKXkA96NisPwAI+eVioNc3nPwAAAAAYAAAA/PwA/AACAAAAAAAA8L8CDwu1pnnHFMACWvW52or9978AAAAAGAAAAPz8APwAAgAAAAAAAPC/Ag8LtaZ5xxRAAAAAAAAYAAAA/PwA/AACAAAAAAAA8L8C001iEFj5GUACCtejcD0KAsAAAAAAIAAAAPz8APwAAgAAAAAAAPC/ApeQD3o2Kw/AAv0Yc9cS8gFAAAAAABgAAAD8/AD8AAIAAAAAAADwvwIPC7WmeccUwAAAAAAAGAAAAPz8APwAAgAAAAAAAPC/ApeQD3o2Kx9AAlr1udqK/fe/AAAAABgAAAD8/AD8AAIAAAAAAADwvwLTTWIQWPkZQAK30QDeAgkOwAAAAAAYAAAA/PwA/AACAAAAAAAA8L8Cl5APejYrH0ACWvW52or9B8AAAAAAGAAAAPz8APwAAgAAAAAAAPC/Ag8LtaZ5xwTAAkw3iUFg5QdAAAAAAAEYAAQBZQgAAAAAAAAAAAQIAWUEAAAAAAAAAAAEDAFlBAAAAAAAAAAACBABZQQAAAAAAAAAAAwUAWUEAAAAAAAAAAAMGAFlBAAAAAAAAAAAEBwBZQgMAAAAAAAAABAgAWUEAAAAAAAAAAAUJAFlCAwAAAAAAAAAFCgBZQQAAAAAAAAAABwsAWUEAAAAAAAAAAAgMAFlCAgAAAAAAAAAJDQBZQQAAAAAAAAAACg4AWUICAAAAAAAAAAsPAFlCAgAAAAAAAAALAEQAWUEAAAAAAAAAAA0AREBZQQAAAAAAAAAADQBEgFlCAgAAAAAAAAAARABEwFlBAAAAAAAAAAAARABFAFlBAAAAAAAAAAAARABFQFlBAAAAAAAAAAAAREBFgFlBAAAAAAAAAAAMDwBZQQAAAAAAAAAADgBEgFlBAAAAAAAAAAAAAAAAA==</t>
        </r>
      </text>
    </comment>
    <comment ref="A305" authorId="0" shapeId="0" xr:uid="{83FF8491-D6A5-4CF9-92B5-09DD3E0C3D17}">
      <text>
        <r>
          <rPr>
            <sz val="9"/>
            <color indexed="81"/>
            <rFont val="Segoe UI"/>
            <charset val="1"/>
          </rPr>
          <t>Insight iXlW00001C0000305R0080105531S00000608P01868LAocjBAQBF1NjaVRlZ2ljLmRhdGEuTW9sZWN1bGUBbwF/ARJTY2lUZWdpYy5Nb2xlY3VsZQAAAQFkAv5qAQAAAAIAAgEZAREAAAD8/AD8AAIAAAAAAADwvwAAAAAAABgAAAD8/AD8AAIAAAAAAADwvwJpAG+BBMX0vwLQZtXnaivoPwAAAAAcAAAA/PwA/AACAAAAAAAA8L8CaQBvgQTFBMAAAAAAABgAAAD8/AD8AAIAAAAAAADwvwJpAG+BBMX0vwLVeOkmMQgCQAAAAAAcAAAA/PwA/AACAAAAAAAA8L8C1lbsL7snD8AC0GbV52or6D8AAAAAGAAAAPz8APwAAgAAAAAAAPC/AmkAb4EExQTAAnsUrkfh+gdAAAAAABgAAAD8/AD8AAIAAAAAAADwvwLWVuwvuycPwALVeOkmMQgCQAAAAAAgAAAA/PwA/AACAAAAAAAA8L8CaQBvgQTFBMACzhlR2hv8EUAAAAAAGAAAAPz8APwAAgAAAAAAAPC/AoXrUbgexRTAAnsUrkfh+gdAAAAAABgAAAD8/AD8AAIAAAAAAADwvwJpAG+BBMX0vwKoxks3iQEVQAAAAAAYAAAA/PwA/AACAAAAAAAA8L8ChetRuB7FFMACzhlR2hv8EUAAAAAAGAAAAPz8APwAAgAAAAAAAPC/AqCrrdhf9hnAAtV46SYxCAJAAAAAAAEQAAAA/PwA/AACAAAAAAAA8L8AAs4ZUdob/BFAAAAAACAAAAD8/AD8AAIAAAAAAADwvwJpAG+BBMX0vwI51sVtNAAbQAAAAAAYAAAA/PwA/AACAAAAAAAA8L8CoKut2F/2GcACqMZLN4kBFUAAAAAAGAAAAPz8APwAAgAAAAAAAPC/ArprCfmgJx/AAnsUrkfh+gdAAAAAABgAAAD8/AD8AAIAAAAAAADwvwJpAG+BBMX0PwKoxks3iQEVQAAAAAAYAAAA/PwA/AACAAAAAAAA8L8CumsJ+aAnH8ACzhlR2hv8EUAAAAAAGAAAAPz8APwAAgAAAAAAAPC/AmkAb4EExQRAAs4ZUdob/BFAAAAAABgAAAD8/AD8AAIAAAAAAADwvwLWVuwvuycPQAKoxks3iQEVQAAAAAAYAAAA/PwA/AACAAAAAAAA8L8ChetRuB7FFEACzhlR2hv8EUAAAAAAGAAAAPz8APwAAgAAAAAAAPC/AqCrrdhf9hlAAqjGSzeJARVAAAAAABgAAAD8/AD8AAIAAAAAAADwvwK6awn5oCcfQALOGVHaG/wRQAAAAAAYAAAA/PwA/AACAAAAAAAA8L8CeAskKH4sIkACqMZLN4kBFUAAAAAAGAAAAPz8APwAAgAAAAAAAPC/AoXrUbgexSRAAs4ZUdob/BFAAAAAAAEaAAQBZQQAAAAAAAAAAAQIAWUIDAAAAAAAAAAEDAFlBAAAAAAAAAAACBABZQQAAAAAAAAAAAwUAWUIDAAAAAAAAAAQGAFlCAwAAAAAAAAAFBwBZQQAAAAAAAAAABggAWUEAAAAAAAAAAAcJAFlBAAAAAAAAAAAICgBZQgMAAAAAAAAACAsAWUEAAAAAAAAAAAkMAFlBAAAAAAAAAAAJDQBZQgAAAAAAAAAACg4AWUEAAAAAAAAAAAsPAFlCAgAAAAAAAAAMAEQAWUEAAAAAAAAAAA4AREBZQgIAAAAAAAAAAEQARIBZQQAAAAAAAAAAAESARMBZQQAAAAAAAAAAAETARQBZQQAAAAAAAAAAAEUARUBZQQAAAAAAAAAAAEVARYBZQQAAAAAAAAAAAEWARcBZQQAAAAAAAAAAAEXARgBZQQAAAAAAAAAABQYAWUEAAAAAAAAAAA8AREBZQQAAAAAAAAAAAAAAAA=</t>
        </r>
      </text>
    </comment>
    <comment ref="A306" authorId="0" shapeId="0" xr:uid="{694A250D-49AA-45DC-AC66-89E4322B8079}">
      <text>
        <r>
          <rPr>
            <sz val="9"/>
            <color indexed="81"/>
            <rFont val="Segoe UI"/>
            <charset val="1"/>
          </rPr>
          <t>Insight iXlW00001C0000306R0080105531S00000610P01640LAocjBAQBF1NjaVRlZ2ljLmRhdGEuTW9sZWN1bGUBbwF/ARJTY2lUZWdpYy5Nb2xlY3VsZQAAAQFkAv5qAQAAAAIAAgEWARAAAAD8/AD8AAIAAAAAAADwvwAAAAAAABgAAAD8/AD8AAIAAAAAAADwvwJFaW/whcn0PwLkg57Nqs/nPwAAAAAYAAAA/PwA/AACAAAAAAAA8L8AAgAAAAAAAPi/AAAAABwAAAD8/AD8AAIAAAAAAADwvwJ9PzVeuskEQAAAAAAAHAAAAPz8APwAAgAAAAAAAPC/AkVpb/CFyfQ/AvmgZ7Pq8wFAAAAAABgAAAD8/AD8AAIAAAAAAADwvwJFaW/whcn0vwJANV66SQwCwAAAAAAYAAAA/PwA/AACAAAAAAAA8L8CRWlv8IXJ9D8CQDVeukkMAsAAAAAAGAAAAPz8APwAAgAAAAAAAPC/AiD0bFZ9Lg9AAuSDns2qz+c/AAAAABgAAAD8/AD8AAIAAAAAAADwvwJ9PzVeuskEQAI51sVtNAAIQAAAAAAYAAAA/PwA/AACAAAAAAAA8L8CT0ATYcPTBcACDCQofoy5/L8AAAAAGAAAAPz8APwAAgAAAAAAAPC/AkVpb/CFyfS/AkA1XrpJDA7AAAAAABgAAAD8/AD8AAIAAAAAAADwvwJFaW/whcn0PwJANV66SQwOwAAAAAAgAAAA/PwA/AACAAAAAAAA8L8CfT81XrrJFEAAAAAAABgAAAD8/AD8AAIAAAAAAADwvwIg9GxWfS4PQAL5oGez6vMBQAAAAAAgAAAA/PwA/AACAAAAAAAA8L8CfT81XrrJBEACHeviNhoAEkAAAAAAIAAAAPz8APwAAgAAAAAAAPC/AlCNl24SgwnAAssyxLEubte/AAAAACAAAAD8/AD8AAIAAAAAAADwvwIooImw4ekMwAJHlPYGXxgIwAAAAAAYAAAA/PwA/AACAAAAAAAA8L8AAh3r4jYaABLAAAAAABgMAAD8/AD8AAIAAAAAAADwvwJPQBNhw9MFwAIhQfFjzN0QwAAAAAAYAAAA/PwA/AACAAAAAAAA8L8CfT81XrrJFEACAAAAAAAA+L8AAAAAGAAAAPz8APwAAgAAAAAAAPC/AkVpb/CFyfQ/Apm7lpAP+hRAAAAAABgAAAD8/AD8AAIAAAAAAADwvwJQjZduEoMJwAL3Bl+YTJUWwAAAAAABGAAEAWUEAAAAAAAAAAAACAFlBAAAAAAAAAAABAwBZQgMAAAAAAAAAAQQAWUEAAAAAAAAAAAIFAFlCAgAAAAAAAAACBgBZQQAAAAAAAAAAAwcAWUEAAAAAAAAAAAQIAFlCAwAAAAAAAAAFCQBZQQAAAAAAAAAABQoAWUEAAAAAAAAAAAYLAFlCAgAAAAAAAAAHDABZQQAAAAAAAAAABw0AWUICAAAAAAAAAAgOAFlBAAAAAAAAAAAJDwBZQgAAAAAAAAAACQBEAFlBAAAAAAAAAAAKAERAWUICAAAAAAAAAAoARIBZQQAAAAAAAAAADABEwFlBAAAAAAAAAAAOAEUAWUEAAAAAAAAAAABEgEVAWUEFAAAAAAAAAAgNAFlBAAAAAAAAAAALAERAWUEAAAAAAAAAAABEAESAWUEAAAAAAAAAAAAAAAA</t>
        </r>
      </text>
    </comment>
    <comment ref="A307" authorId="0" shapeId="0" xr:uid="{C876BFA7-E95A-477F-B9EF-5F7A83F9AF7B}">
      <text>
        <r>
          <rPr>
            <sz val="9"/>
            <color indexed="81"/>
            <rFont val="Segoe UI"/>
            <charset val="1"/>
          </rPr>
          <t>Insight iXlW00001C0000307R0080105531S00000612P01896LAocjBAQBF1NjaVRlZ2ljLmRhdGEuTW9sZWN1bGUBbwF/ARJTY2lUZWdpYy5Nb2xlY3VsZQAAAQFkAv5qAQAAAAIAAgEaIAAAAPz8APwAAgAAAAAAAPC/AAAAAAAAGAAAAPz8APwAAgAAAAAAAPC/AALzH9JvXwf4vwAAAAAgAAAA/PwA/AACAAAAAAAA8L8C5IOezarP9L8Ct2J/2T35AcAAAAAAGAAAAPz8APwAAgAAAAAAAPC/AuSDns2qz/Q/Ardif9k9+QHAAAAAABgAAAD8/AD8AAIAAAAAAADwvwIdWmQ7388EwALzH9JvXwf4vwAAAAAYAAAA/PwA/AACAAAAAAAA8L8CHVpkO9/PBEAC8x/Sb18H+L8AAAAAGAAAAPz8APwAAgAAAAAAAPC/AuSDns2qz/Q/ArFyaJHt/A3AAAAAACAAAAD8/AD8AAIAAAAAAADwvwIdWmQ7388EQAAAAAAAGAAAAPz8APwAAgAAAAAAAPC/Ag+cM6K0Nw9AArdif9k9+QHAAAAAABgAAAD8/AD8AAIAAAAAAADwvwAC001iEFj5EcAAAAAAGAAAAPz8APwAAgAAAAAAAPC/Ah1aZDvfzwRAAtNNYhBY+RHAAAAAABgAAAD8/AD8AAIAAAAAAADwvwIPnDOitDcPQALXo3A9CtfnPwAAAAAYAAAA/PwA/AACAAAAAAAA8L8CD5wzorQ3D0ACsXJoke38DcAAAAAAHAAAAPz8APwAAgAAAAAAAPC/AAK06nO1FfsXwAAAAAAYAAAA/PwA/AACAAAAAAAA8L8C5IOezarP9L8CsXJoke38DcAAAAAAHAAAAPz8APwAAgAAAAAAAPC/Ag+cM6K0Nw9AArdif9k9+QFAAAAAABwAAAD8/AD8AAIAAAAAAADwvwIBb4EExc8UQAAAAAAAIAAAAPz8APwAAgAAAAAAAPC/AuSDns2qz/S/Ai//If329RrAAAAAABgAAAD8/AD8AAIAAAAAAADwvwIBb4EExc8UQAKti9toAO8HQAAAAAAYAAAA/PwA/AACAAAAAAAA8L8CFvvL7skDGkAC16NwPQrX5z8AAAAAGAAAAPz8APwAAgAAAAAAAPC/AuSDns2qz/S/AgjOGVHaeyDAAAAAACAAAAD8/AD8AAIAAAAAAADwvwIBb4EExc8UQALTTWIQWPkRQAAAAAAYAAAA/PwA/AACAAAAAAAA8L8CFvvL7skDGkACt2J/2T35AUAAAAAAIAAAAPz8APwAAgAAAAAAAPC/Ag+cM6K0Nx9AAAAAAAAYAAAA/PwA/AACAAAAAAAA8L8CD5wzorQ3D0ACMnctIR/0FEAAAAAAGAAAAPz8APwAAgAAAAAAAPC/Ag+cM6K0Nx9AAvMf0m9fB/i/AAAAAAEbAAQBZQgAAAAAAAAAAAQIAWUEAAAAAAAAAAAEDAFlBAAAAAAAAAAACBABZQQAAAAAAAAAAAwUAWUICAAAAAAAAAAMGAFlBAAAAAAAAAAAFBwBZQQAAAAAAAAAABQgAWUEAAAAAAAAAAAYJAFlBAAAAAAAAAAAGCgBZQgIAAAAAAAAABwsAWUEAAAAAAAAAAAgMAFlCAgAAAAAAAAAJDQBZQgMAAAAAAAAACQ4AWUEAAAAAAAAAAAsPAFlCAwAAAAAAAAALAEQAWUEAAAAAAAAAAA0AREBZQQAAAAAAAAAADwBEgFlBAAAAAAAAAAAARABEwFlCAwAAAAAAAAAAREBFAFlBAAAAAAAAAAAARIBFQFlBAAAAAAAAAAAARIBFgFlCAgAAAAAAAAAARMBFwFlBAAAAAAAAAAAARUBGAFlBAAAAAAAAAAAARcBGQFlBAAAAAAAAAAAKDABZQQAAAAAAAAAAAETARYBZQQAAAAAAAAAAAAAAAA=</t>
        </r>
      </text>
    </comment>
    <comment ref="A308" authorId="0" shapeId="0" xr:uid="{37434E18-E271-4E37-A233-28BBA1B4F392}">
      <text>
        <r>
          <rPr>
            <sz val="9"/>
            <color indexed="81"/>
            <rFont val="Segoe UI"/>
            <charset val="1"/>
          </rPr>
          <t>Insight iXlW00001C0000308R0080105531S00000614P02068LAocjBAQBF1NjaVRlZ2ljLmRhdGEuTW9sZWN1bGUBbwF/ARJTY2lUZWdpYy5Nb2xlY3VsZQAAAQFkAv5qAQAAAAIAAgEcARAAAAD8/AD8AAIAAAAAAADwvwAAAAAAACAAAAD8/AD8AAIAAAAAAADwvwJYyjLEsS7oPwLyY8xdS8j0vwAAAAAgAAAA/PwA/AACAAAAAAAA8L8C8mPMXUvI9L8CWMoyxLEu6L8AAAAAHAAAAPz8APwAAgAAAAAAAPC/AvJjzF1LyPQ/AiDSb18Hzuc/AAAAABgAAAD8/AD8AAIAAAAAAADwvwIg0m9fB87nvwLyY8xdS8j0PwAAAAAYAAAA/PwA/AACAAAAAAAA8L8CKjqSy3/IBEAAAAAAACQAAAD8/AD8AAIAAAAAAADwvwLfcYqO5PIBwALyY8xdS8j0PwAAAAAkAAAA/PwA/AACAAAAAAAA8L8AAio6kst/yARAAAAAABgAAAD8/AD8AAIAAAAAAADwvwIjbHh6pSwPQAIg0m9fB87nPwAAAAAYAAAA/PwA/AACAAAAAAAA8L8CKjqSy3/IBEACrfpcbcX+978AAAAAGAAAAPz8APwAAgAAAAAAAPC/Aio6kst/yBRAAAAAAAAYDAAA/PwA/AACAAAAAAAA8L8CI2x4eqUsD0AC33GKjuTyAUAAAAAAGAAAAPz8APwAAgAAAAAAAPC/AiNseHqlLA9AAu0vuycPCwLAAAAAABgAAAD8/AD8AAIAAAAAAADwvwLyY8xdS8j0PwLtL7snDwsCwAAAAAAYAAAA/PwA/AACAAAAAAAA8L8CKjqSy3/IFEACrfpcbcX+978AAAAAIAAAAPz8APwAAgAAAAAAAPC/Aio6kst/yARAAq36XG3F/gdAAAAAABgAAAD8/AD8AAIAAAAAAADwvwIqOpLLf8gUQAKt+lxtxf4HQAAAAAAgAAAA/PwA/AACAAAAAAAA8L8C8mPMXUvI9D8CQ61p3nEKDsAAAAAAHAAAAPz8APwAAgAAAAAAAPC/Aio6kst/yBRAAgK8BRIU/xFAAAAAABwAAAD8/AD8AAIAAAAAAADwvwImUwWjkvoZQALfcYqO5PIBQAAAAAAYAAAA/PwA/AACAAAAAAAA8L8AAgK8BRIU/xHAAAAAABgAAAD8/AD8AAIAAAAAAADwvwImUwWjkvoZQAJGtvP91PgUQAAAAAAYAAAA/PwA/AACAAAAAAAA8L8CI2x4eqUsH0ACrfpcbcX+B0AAAAAAIAAAAPz8APwAAgAAAAAAAPC/AiZTBaOS+hlAAvH0SlmG+BpAAAAAABgAAAD8/AD8AAIAAAAAAADwvwIjbHh6pSwfQAICvAUSFP8RQAAAAAAgAAAA/PwA/AACAAAAAAAA8L8CHjhnRGkvIkAC33GKjuTyAUAAAAAAGAAAAPz8APwAAgAAAAAAAPC/Aio6kst/yBRAAjxO0ZFc/h1AAAAAABgAAAD8/AD8AAIAAAAAAADwvwIeOGdEaS8iQAIg0m9fB87nPwAAAAABHQAEAWUIAAAAAAAAAAAACAFlCAAAAAAAAAAAAAwBZQQAAAAAAAAAAAAQAWUEAAAAAAAAAAAMFAFlBAAAAAAAAAAAEBgBZQQAAAAAAAAAABAcAWUEAAAAAAAAAAAUIAFlCAwAAAAAAAAAFCQBZQQAAAAAAAAAACAoAWUEAAAAAAAAAAAgLAFlBAAAAAAAAAAAJDABZQgIAAAAAAAAACQ0AWUEAAAAAAAAAAAoOAFlCAgAAAAAAAAALDwBZQQUAAAAAAAAACwBEAFlBAAAAAAAAAAANAERAWUEAAAAAAAAAAABEAESAWUIDAAAAAAAAAABEAETAWUEAAAAAAAAAAABEQEUAWUEAAAAAAAAAAABEgEVAWUEAAAAAAAAAAABEwEWAWUIDAAAAAAAAAABFQEXAWUEAAAAAAAAAAABFQEYAWUICAAAAAAAAAABFgEZAWUEAAAAAAAAAAABFwEaAWUEAAAAAAAAAAABGQEbAWUEAAAAAAAAAAAwOAFlBAAAAAAAAAAAARYBGAFlBAAAAAAAAAAAAAAAAA==</t>
        </r>
      </text>
    </comment>
    <comment ref="A309" authorId="0" shapeId="0" xr:uid="{9CBCCAA7-F972-4415-9DAE-8197D759B9F5}">
      <text>
        <r>
          <rPr>
            <sz val="9"/>
            <color indexed="81"/>
            <rFont val="Segoe UI"/>
            <charset val="1"/>
          </rPr>
          <t>Insight iXlW00001C0000309R0080105531S00000616P01616LAocjBAQBF1NjaVRlZ2ljLmRhdGEuTW9sZWN1bGUBbwF/ARJTY2lUZWdpYy5Nb2xlY3VsZQAAAQFkAv5qAQAAAAIAAgEWAREAAAD8/AD8AAIAAAAAAADwvwAAAAAAABgAAAD8/AD8AAIAAAAAAADwvwInwoanV8r0PwLH3LWEfNDnPwAAAAAYAAAA/PwA/AACAAAAAAAA8L8CJ8KGp1fK9D8Cak3zjlP0AUAAAAAAGAAAAPz8APwAAgAAAAAAAPC/Au7rwDkjygRAAAAAAAAYAAAA/PwA/AACAAAAAAAA8L8C7uvAOSPKBEACqoJRSZ0ACEAAAAAAGAAAAPz8APwAAgAAAAAAAPC/AAKqglFJnQAIQAAAAAAYAAAA/PwA/AACAAAAAAAA8L8CAk2EDU8vD0ACx9y1hHzQ5z8AAAAAARAAAAD8/AD8AAIAAAAAAADwvwLu68A5I8oEQAKOl24SgwASQAAAAAAYAAAA/PwA/AACAAAAAAAA8L8CAk2EDU8vD0ACak3zjlP0AUAAAAAAIAAAAPz8APwAAgAAAAAAAPC/AAKOl24SgwASQAAAAAAgAPwA/PwA/AACAAAAAAAA8L8CJ8KGp1fK9L8Cak3zjlP0AUAAAAAAGAAAAPz8APwAAgAAAAAAAPC/AgJNhA1PLw9AAiZTBaOS+hRAAAAAABwAAAD8/AD8AAIAAAAAAADwvwLu68A5I8oUQAKOl24SgwASQAAAAAAcAAAA/PwA/AACAAAAAAAA8L8CAk2EDU8vD0ACQz7o2az6GkAAAAAAGAAAAPz8APwAAgAAAAAAAPC/AnicoiO5/BlAAiZTBaOS+hRAAAAAABgAAAD8/AD8AAIAAAAAAADwvwLu68A5I8oUQALjWBe30QAeQAAAAAAgAAAA/PwA/AACAAAAAAAA8L8C5WGh1jQvH0ACjpduEoMAEkAAAAAAGAAAAPz8APwAAgAAAAAAAPC/AnicoiO5/BlAAkM+6Nms+hpAAAAAACAAAAD8/AD8AAIAAAAAAADwvwLu68A5I8oUQAKOl24SgwAiQAAAAAAYAAAA/PwA/AACAAAAAAAA8L8C5WGh1jQvH0ACqoJRSZ0ACEAAAAAAGAAAAPz8APwAAgAAAAAAAPC/AgJNhA1PLw9AAlr1udqKfSNAAAAAACwABAD8/AD8AAIAAAAAAADwvwJeukkMAisFwAL+1HjpJjHoPwAAAAABFgAEAWUEAAAAAAAAAAAECAFlCAwAAAAAAAAABAwBZQQAAAAAAAAAAAgQAWUEAAAAAAAAAAAIFAFlBAAAAAAAAAAADBgBZQgIAAAAAAAAABAcAWUEAAAAAAAAAAAQIAFlCAgAAAAAAAAAFCQBZQgAAAAAAAAAABQoAWUEAAAAAAAAAAAcLAFlBAAAAAAAAAAALDABZQgMAAAAAAAAACw0AWUEAAAAAAAAAAAwOAFlBAAAAAAAAAAANDwBZQgMAAAAAAAAADgBEAFlBAAAAAAAAAAAOAERAWUICAAAAAAAAAA8ARIBZQQAAAAAAAAAAAEQARMBZQQAAAAAAAAAAAESARQBZQQAAAAAAAAAABggAWUEAAAAAAAAAAA8AREBZQQAAAAAAAAAAAAAAAA=</t>
        </r>
      </text>
    </comment>
    <comment ref="A310" authorId="0" shapeId="0" xr:uid="{73495BEB-A0A8-4416-B575-D4F61B378A41}">
      <text>
        <r>
          <rPr>
            <sz val="9"/>
            <color indexed="81"/>
            <rFont val="Segoe UI"/>
            <charset val="1"/>
          </rPr>
          <t>Insight iXlW00001C0000310R0080105531S00000618P01884LAocjBAQBF1NjaVRlZ2ljLmRhdGEuTW9sZWN1bGUBbwF/ARJTY2lUZWdpYy5Nb2xlY3VsZQAAAQFkAv5qAQAAAAIAAgEZARAAAAD8/AD8AAIAAAAAAADwvwAAAAAAACAAAAD8/AD8AAIAAAAAAADwvwKCBMWPMXfzPwJF2PD0SlnsvwAAAAAgAAAA/PwA/AACAAAAAAAA8L8CRdjw9EpZ7L8CggTFjzF3878AAAAAGAAAAPz8APwAAgAAAAAAAPC/AoIExY8xd/O/AkXY8PRKWew/AAAAABgAAAD8/AD8AAIAAAAAAADwvwJF2PD0SlnsPwKCBMWPMXfzPwAAAAAcAAAA/PwA/AACAAAAAAAA8L8CggTFjzF3878CETY8vVIWA0AAAAAAGAAAAPz8APwAAgAAAAAAAPC/Au0NvjCZKgXAAryWkA96Nts/AAAAABgAAAD8/AD8AAIAAAAAAADwvwIEeAskKP4CQAI1XrpJDALxPwAAAAAgAAAA/PwA/AACAAAAAAAA8L8C7Q2+MJkqBcACS1mGONbFBkAAAAAAGAAAAPz8APwAAgAAAAAAAPC/AsZtNIC3QAzAAjEqqRPQRPo/AAAAABgAAAD8/AD8AAIAAAAAAADwvwJDrWnecQoJQAJ6WKg1zTvOvwAAAAAYAAAA/PwA/AACAAAAAAAA8L8C2fD0SlkGC0ACpixDHOtiAUAAAAAAGAAAAPz8APwAAgAAAAAAAPC/Aqk1zTtOkRLAAu0NvjCZKgVAAAAAABgAAAD8/AD8AAIAAAAAAADwvwKpNc07TpESwAINcayL22jkPwAAAAAgAAAA/PwA/AACAAAAAAAA8L8CHA3gLZAgBEAC3bWEfNCz+b8AAAAAHAAAAPz8APwAAgAAAAAAAPC/Ao25awn5YBJAAoNRSZ2AJrI/AAAAABwAAAD8/AD8AAIAAAAAAADwvwIEeAskKP4SQAL9GHPXEvL4PwAAAAAYAAAA/PwA/AACAAAAAAAA8L8CxSCwcmiRCEACtch2vp8aDUAAAAAAGAAAAPz8APwAAgAAAAAAAPC/AvRsVn2uNgtAAi/dJAaBlQbAAAAAABgAAAD8/AD8AAIAAAAAAADwvwJSuB6F69EWQAIkufyH9NvtvwAAAAAkAAAA/PwA/AACAAAAAAAA8L8CsVBrmnccBkACRUdy+Q9pFEAAAAAAJAAAAPz8APwAAgAAAAAAAPC/AjEqqRPQRPo/AtuK/WX3ZBBAAAAAACQAAAD8/AD8AAIAAAAAAADwvwIoDwu1prkQQAKpNc07TpESQAAAAAAkAAAA/PwA/AACAAAAAAAA8L8CkML1KFyPE0ACCYofY+5aBcAAAAAAJAAAAPz8APwAAgAAAAAAAPC/As3MzMzMTAZAAi9uowG8xRDAAAAAAAEaAAQBZQgAAAAAAAAAAAAIAWUIAAAAAAAAAAAADAFlBAAAAAAAAAAAABABZQQAAAAAAAAAAAwUAWUIDAAAAAAAAAAMGAFlBAAAAAAAAAAAEBwBZQQAAAAAAAAAABQgAWUEAAAAAAAAAAAYJAFlBAAAAAAAAAAAHCgBZQgIAAAAAAAAABwsAWUEAAAAAAAAAAAkMAFlBAAAAAAAAAAAJDQBZQQAAAAAAAAAACg4AWUEAAAAAAAAAAAoPAFlBAAAAAAAAAAALAEQAWUICAAAAAAAAAAsAREBZQQAAAAAAAAAADgBEgFlBAAAAAAAAAAAPAETAWUEAAAAAAAAAAABEQEUAWUEAAAAAAAAAAABEQEVAWUEAAAAAAAAAAABEQEWAWUEAAAAAAAAAAABEgEXAWUEAAAAAAAAAAABEgEYAWUEAAAAAAAAAAAgJAFlBAAAAAAAAAAAPAEQAWUEAAAAAAAAAAAAAAAA</t>
        </r>
      </text>
    </comment>
    <comment ref="A311" authorId="0" shapeId="0" xr:uid="{D5FB7338-0A10-49BD-8236-0A686DC84889}">
      <text>
        <r>
          <rPr>
            <sz val="9"/>
            <color indexed="81"/>
            <rFont val="Segoe UI"/>
            <charset val="1"/>
          </rPr>
          <t>Insight iXlW00001C0000311R0080105531S00000620P02172LAocjBAQBF1NjaVRlZ2ljLmRhdGEuTW9sZWN1bGUBbwF/ARJTY2lUZWdpYy5Nb2xlY3VsZQAAAQFkAv5qAQAAAAIAAgEdARAAAAD8/AD8AAIAAAAAAADwvwAAAAAAACAAAAD8/AD8AAIAAAAAAADwvwLyY8xdS8j0PwIg0m9fB87nPwAAAAAgAAAA/PwA/AACAAAAAAAA8L8CINJvXwfO578C8mPMXUvI9D8AAAAAHAAAAPz8APwAAgAAAAAAAPC/AljKMsSxLug/AvJjzF1LyPS/AAAAABgAAAD8/AD8AAIAAAAAAADwvwLyY8xdS8j0vwJYyjLEsS7ovwAAAAAYAAAA/PwA/AACAAAAAAAA8L8CtFn1udoKAkAC8mPMXUvI9L8AAAAAGAAAAPz8APwAAgAAAAAAAPC/AvJjzF1LyPS/ArRZ9bnaCgLAAAAAABgAAAD8/AD8AAIAAAAAAADwvwK5jQbwFsgEwALtDb4wmSqIvwAAAAAcAAAA/PwA/AACAAAAAAAA8L8CHA3gLZAgCUACQRNhw9Mrtb8AAAAAHAAAAPz8APwAAgAAAAAAAPC/AhwN4C2QIAlAAlhbsb/sHgTAAAAAACAAAAD8/AD8AAIAAAAAAADwvwACPE7RkVz+B8AAAAAAHAAAAPz8APwAAgAAAAAAAPC/ArmNBvAWyATAAkoMAiuHFgjAAAAAABgAAAD8/AD8AAIAAAAAAADwvwKyv+yePCwPwAKQwvUoXI/ovwAAAAAYAAAA/PwA/AACAAAAAAAA8L8CuY0G8BbIBMACINJvXwfO9z8AAAAAHAAAAPz8APwAAgAAAAAAAPC/Atc07zhFRxJAAov9ZffkYeG/AAAAABgAAAD8/AD8AAIAAAAAAADwvwLXNO84RUcSQAKP5PIf0m8AwAAAAAAYAAAA/PwA/AACAAAAAAAA8L8AAq36XG3F/hHAAAAAABgAAAD8/AD8AAIAAAAAAADwvwKyv+yePCwPwALCFyZTBSMCwAAAAAAkAAAA/PwA/AACAAAAAAAA8L8CuY0G8BbIBMACLpCg+DHmB0AAAAAAJAAAAPz8APwAAgAAAAAAAPC/AvJjzF1LyPS/Apjdk4eF2gFAAAAAACQAAAD8/AD8AAIAAAAAAADwvwKyv+yePCwPwAKY3ZOHhdoBQAAAAAAYAAAA/PwA/AACAAAAAAAA8L8C001iEFh5F0ACVVInoImwyT8AAAAAHAAAAPz8APwAAgAAAAAAAPC/AtNNYhBYeRdAAhfZzvdTYwbAAAAAACAAAAD8/AD8AAIAAAAAAADwvwLTTWIQWHkXQAKHONbFbTT7PwAAAAAYAAAA/PwA/AACAAAAAAAA8L8C0GbV52qrHEACw/UoXI/C4b8AAAAAGAAAAPz8APwAAgAAAAAAAPC/AtBm1edqqxxAAo/k8h/SbwDAAAAAABgAAAD8/AD8AAIAAAAAAADwvwLXNO84RUcSQALLEMe6uI0DQAAAAAAgAAAA/PwA/AACAAAAAAAA8L8CWMoyxLHuIEACJZf/kH57BsAAAAAAGAAAAPz8APwAAgAAAAAAAPC/AljKMsSx7iBAAiEf9GxWPRHAAAAAAAEfAAQBZQgAAAAAAAAAAAAIAWUIAAAAAAAAAAAADAFlBAAAAAAAAAAAABABZQQAAAAAAAAAAAwUAWUEAAAAAAAAAAAQGAFlCAgAAAAAAAAAEBwBZQQAAAAAAAAAABQgAWUIDAAAAAAAAAAUJAFlBAAAAAAAAAAAGCgBZQQAAAAAAAAAABgsAWUEAAAAAAAAAAAcMAFlCAgAAAAAAAAAHDQBZQQAAAAAAAAAACA4AWUEAAAAAAAAAAAkPAFlCAwAAAAAAAAAKAEQAWUEAAAAAAAAAAAsAREBZQgIAAAAAAAAADQBEgFlBAAAAAAAAAAANAETAWUEAAAAAAAAAAA0ARQBZQQAAAAAAAAAADgBFQFlBAAAAAAAAAAAPAEWAWUEAAAAAAAAAAABFQEXAWUEAAAAAAAAAAABFQEYAWUICAAAAAAAAAABFgEZAWUIDAAAAAAAAAABFwEaAWUEAAAAAAAAAAABGQEbAWUEAAAAAAAAAAABGwEcAWUEAAAAAAAAAAAwAREBZQQAAAAAAAAAADg8AWUEAAAAAAAAAAABGAEZAWUEAAAAAAAAAAAAAAAA</t>
        </r>
      </text>
    </comment>
    <comment ref="A312" authorId="0" shapeId="0" xr:uid="{D84F4AA1-149B-43D9-8AB9-719EEA5AE877}">
      <text>
        <r>
          <rPr>
            <sz val="9"/>
            <color indexed="81"/>
            <rFont val="Segoe UI"/>
            <charset val="1"/>
          </rPr>
          <t>Insight iXlW00001C0000312R0080105531S00000622P01136LAocjBAQBF1NjaVRlZ2ljLmRhdGEuTW9sZWN1bGUBbwF/ARJTY2lUZWdpYy5Nb2xlY3VsZQAAAQFkAv5qAQAAAAIAAjwBEQAAAPz8APwAAgAAAAAAAPC/AAAAAAAAGAAAAPz8APwAAgAAAAAAAPC/Agkbnl4py/S/Aqk1zTtO0ee/AAAAABgAAAD8/AD8AAIAAAAAAADwvwIJG55eKcv0vwKFfNCzWfUBwAAAAAAYAAAA/PwA/AACAAAAAAAA8L8CCRueXinLBMAC7Q2+MJkqiD8AAAAAGAAAAPz8APwAAgAAAAAAAPC/Agkbnl4pywTAAu/Jw0Kt6QfAAAAAABgAAAD8/AD8AAIAAAAAAADwvwAC/Yf029cBCMAAAAAAGAAAAPz8APwAAgAAAAAAAPC/Ao0o7Q2+MA/AAnE9CtejcOe/AAAAABwAAAD8/AD8AAIAAAAAAADwvwIJG55eKcsEwAJpke18P/URwAAAAAAYAAAA/PwA/AACAAAAAAAA8L8CjSjtDb4wD8ACP+jZrPrcAcAAAAAAIAAAAPz8APwAAgAAAAAAAPC/Agkbnl4py/Q/ApM6AU2EDQLAAAAAACAAAAD8/AD8AAIAAAAAAADwvwACcPCFyVQBEsAAAAAAGAAAAPz8APwAAgAAAAAAAPC/Ao0o7Q2+MA/AAh44Z0Rp7xTAAAAAABgAAAD8/AD8AAIAAAAAAADwvwIJG55eKcsUwALhC5OpgtEHwAAAAAAYAAAA/PwA/AACAAAAAAAA8L8CCRueXinLFMACYjJVMCrpEcAAAAAAAREAAAD8/AD8AAIAAAAAAADwvwLLoUW28/0ZwAIX2c73U+MUwAAAAAABEAAEAWUEAAAAAAAAAAAECAFlCAwAAAAAAAAABAwBZQQAAAAAAAAAAAgQAWUEAAAAAAAAAAAIFAFlBAAAAAAAAAAADBgBZQgIAAAAAAAAABAcAWUEAAAAAAAAAAAQIAFlCAwAAAAAAAAAFCQBZQgAAAAAAAAAABQoAWUEAAAAAAAAAAAcLAFlCAgAAAAAAAAAIDABZQQAAAAAAAAAACw0AWUEAAAAAAAAAAA0OAFlBAAAAAAAAAAAGCABZQQAAAAAAAAAADA0AWUICAAAAAAAAAAAAAAA</t>
        </r>
      </text>
    </comment>
    <comment ref="A313" authorId="0" shapeId="0" xr:uid="{7BFC0102-57BE-4C44-9F19-CC2E773FEBF9}">
      <text>
        <r>
          <rPr>
            <sz val="9"/>
            <color indexed="81"/>
            <rFont val="Segoe UI"/>
            <charset val="1"/>
          </rPr>
          <t>Insight iXlW00001C0000313R0080105531S00000624P01136LAocjBAQBF1NjaVRlZ2ljLmRhdGEuTW9sZWN1bGUBbwF/ARJTY2lUZWdpYy5Nb2xlY3VsZQAAAQFkAv5qAQAAAAIAAjwBEQAAAPz8APwAAgAAAAAAAPC/AAAAAAAAGAAAAPz8APwAAgAAAAAAAPC/Agkbnl4py/S/Aqk1zTtO0ee/AAAAABgAAAD8/AD8AAIAAAAAAADwvwIJG55eKcv0vwKFfNCzWfUBwAAAAAAYAAAA/PwA/AACAAAAAAAA8L8CCRueXinLBMAC7Q2+MJkqiD8AAAAAGAAAAPz8APwAAgAAAAAAAPC/Agkbnl4pywTAAu/Jw0Kt6QfAAAAAABgAAAD8/AD8AAIAAAAAAADwvwAC/Yf029cBCMAAAAAAGAAAAPz8APwAAgAAAAAAAPC/Ao0o7Q2+MA/AAnE9CtejcOe/AAAAABwAAAD8/AD8AAIAAAAAAADwvwIJG55eKcsEwAJpke18P/URwAAAAAAYAAAA/PwA/AACAAAAAAAA8L8CjSjtDb4wD8ACP+jZrPrcAcAAAAAAIAAAAPz8APwAAgAAAAAAAPC/Agkbnl4py/Q/ApM6AU2EDQLAAAAAACAAAAD8/AD8AAIAAAAAAADwvwACcPCFyVQBEsAAAAAAGAAAAPz8APwAAgAAAAAAAPC/Ao0o7Q2+MA/AAh44Z0Rp7xTAAAAAABgAAAD8/AD8AAIAAAAAAADwvwIJG55eKcsUwALhC5OpgtEHwAAAAAAYAAAA/PwA/AACAAAAAAAA8L8CCRueXinLFMACYjJVMCrpEcAAAAAAGAAAAPz8APwAAgAAAAAAAPC/AsuhRbbz/RnAAhfZzvdT4xTAAAAAAAEQAAQBZQQAAAAAAAAAAAQIAWUIDAAAAAAAAAAEDAFlBAAAAAAAAAAACBABZQQAAAAAAAAAAAgUAWUEAAAAAAAAAAAMGAFlCAgAAAAAAAAAEBwBZQQAAAAAAAAAABAgAWUIDAAAAAAAAAAUJAFlCAAAAAAAAAAAFCgBZQQAAAAAAAAAABwsAWUICAAAAAAAAAAgMAFlBAAAAAAAAAAALDQBZQQAAAAAAAAAADQ4AWUEAAAAAAAAAAAYIAFlBAAAAAAAAAAAMDQBZQgIAAAAAAAAAAAAAAA=</t>
        </r>
      </text>
    </comment>
    <comment ref="A314" authorId="0" shapeId="0" xr:uid="{F70C2EDA-1187-4980-9F2A-47B055A3BB64}">
      <text>
        <r>
          <rPr>
            <sz val="9"/>
            <color indexed="81"/>
            <rFont val="Segoe UI"/>
            <charset val="1"/>
          </rPr>
          <t>Insight iXlW00001C0000314R0080105531S00000626P01084LAocjBAQBF1NjaVRlZ2ljLmRhdGEuTW9sZWN1bGUBbwF/ARJTY2lUZWdpYy5Nb2xlY3VsZQAAAQFkAv5qAQAAAAIAAjgBEQAAAPz8APwAAgAAAAAAAPC/AAAAAAAAGAAAAPz8APwAAgAAAAAAAPC/Al8pyxDHuvQ/Aj55WKg1zee/AAAAABgAAAD8/AD8AAIAAAAAAADwvwJhVFInoIn0PwI17zhFR/IBwAAAAAAYAAAA/PwA/AACAAAAAAAA8L8CXynLEMe6BEAC+n5qvHSTiD8AAAAAHAAAAPz8APwAAgAAAAAAAPC/AjzfT42XbqK/AoUNT6+U5QfAAAAAABgAAAD8/AD8AAIAAAAAAADwvwLgvg6cM6IEQAKFDU+vlOUHwAAAAAAgAAAA/PwA/AACAAAAAAAA8L8C4L4OnDOiBEACxSCwcmiR+D8AAAAAGAAAAPz8APwAAgAAAAAAAPC/Ag6+MJkqGA9AAkLPZtXnaue/AAAAACAAAAD8/AD8AAIAAAAAAADwvwJhVFInoIkEQAI17zhFR/IRwAAAAAAYAAAA/PwA/AACAAAAAAAA8L8Cj1N0JJf/DkACtoR80LPZAcAAAAAAGAAAAPz8APwAAgAAAAAAAPC/Al8pyxDHuhRAAvp+arx0k5g/AAAAABgAAAD8/AD8AAIAAAAAAADwvwIf9GxWfa4UQAIGo5I6Ac0HwAAAAAAYAAAA/PwA/AACAAAAAAAA8L8Ct/P91HjpGUACRiV1ApoI578AAAAAGAAAAPz8APwAAgAAAAAAAPC/Ane+nxov3RlAArivA+eMqAHAAAAAADwABAFlBAAAAAAAAAAABAgBZQgIAAAAAAAAAAQMAWUEAAAAAAAAAAAIEAFlBAAAAAAAAAAACBQBZQQAAAAAAAAAAAwYAWUIAAAAAAAAAAAMHAFlBAAAAAAAAAAAFCABZQgAAAAAAAAAABQkAWUEAAAAAAAAAAAcKAFlBAAAAAAAAAAAJCwBZQQAAAAAAAAAACgwAWUICAAAAAAAAAAsNAFlCAgAAAAAAAAAHCQBZQgIAAAAAAAAADA0AWUEAAAAAAAAAAAAAAAA</t>
        </r>
      </text>
    </comment>
    <comment ref="A315" authorId="0" shapeId="0" xr:uid="{32E89ED1-B877-4072-895B-6AC31AF5D79C}">
      <text>
        <r>
          <rPr>
            <sz val="9"/>
            <color indexed="81"/>
            <rFont val="Segoe UI"/>
            <charset val="1"/>
          </rPr>
          <t>Insight iXlW00001C0000315R0080105531S00000628P01936LAocjBAQBF1NjaVRlZ2ljLmRhdGEuTW9sZWN1bGUBbwF/ARJTY2lUZWdpYy5Nb2xlY3VsZQAAAQFkAv5qAQAAAAIBAgEaAREAAAD8/AD8AAIAAAAAAADwvwAAAAAAABgAAAD8/AD8AAIAAAAAAADwvwLyY8xdS8j0PwIg0m9fB87nPwAAAAAYAAAA/PwA/AACAAAAAAAA8L8CKjqSy3/IBEAAAAAAABgAAAD8/AD8AAIAAAAAAADwvwLyY8xdS8j0PwLfcYqO5PIBQAAAAAAYAAAA/PwA/AACAAAAAAAA8L8CI2x4eqUsD0ACINJvXwfO5z8AAAAAGAAAAPz8APwAAgAAAAAAAPC/Aio6kst/yARAAq36XG3F/gdAAAAAABwAAAD8/AD8AAIAAAAAAADwvwIOT6+UZcgUQAAAAAAAGAAAAPz8APwAAgAAAAAAAPC/AiNseHqlLA9AAt9xio7k8gFAAAAAABgAAAD8/AD8AAIAAAAAAADwvwImUwWjkvoZQAIg0m9fB87nPwAAAAAcAAAA/PwA/AACAAAAAAAA8L8CDk+vlGXIFEACrfpcbcX+B0AAAAAAGAAAAPz8APwAAgAAAAAAAPC/AiZTBaOS+hlAAt9xio7k8gFAAAAAACAAAAD8/AD8AAIAAAAAAADwvwIjbHh6pSwfQAKt+lxtxf4HQAAAAAAYAAAA/PwA/AACAAAAAAAA8L8CkML1KFwvIkAC33GKjuTyAUAAAAAAGAAAAPz8APwAAgAAAAAAAPC/Ag5Pr5RlyCRAAq36XG3F/gdAAAAAABgAAAD8/AD8AAIAAAAAAADwvwKQwvUoXC8iQAIg0m9fB87nPwAAAAAYAAAA/PwA/AACAAAAAAAA8L8CGlHaG3xhJ0AC33GKjuTyAUAAAAAAGAAAAPz8APwAAgAAAAAAAPC/Ag5Pr5RlyCRAAAAAAAAYAAAA/PwA/AACAAAAAAAA8L8CGlHaG3xhJ0ACINJvXwfO5z8AAAAAIAAAAPz8APwAAgAAAAAAAPC/Apjdk4eF+ilAAAAAAAAYCAAA/PwA/AACAAAAAAAA8L8CmN2Th4X6KUACrfpcbcX+978AAAAAGAAAAPz8APwAAgAAAAAAAPC/AhdqTfOOkyxAAu0vuycPCwLAAAAAABgAAAD8/AD8AAIAAAAAAADwvwIaUdobfGEnQALtL7snDwsCwAAAAAAgAAAA/PwA/AACAAAAAAAA8L8CI2x4eqUsL0ACrfpcbcX+978AAAAAIAAAAPz8APwAAgAAAAAAAPC/AhdqTfOOkyxAAkOtad5xCg7AAAAAABgAAAD8/AD8AAIAAAAAAADwvwIjbHh6pSwvQALm0CLb+f4RwAAAAAAYAAAA/PwA/AACAAAAAAAA8L8CI2x4eqUsL0ACkQ96Nqv+F8AAAAAAARwABAFlBAAAAAAAAAAABAgBZQgMAAAAAAAAAAQMAWUEAAAAAAAAAAAIEAFlBAAAAAAAAAAADBQBZQgIAAAAAAAAABAYAWUEAAAAAAAAAAAQHAFlCAwAAAAAAAAAGCABZQgIAAAAAAAAABwkAWUEAAAAAAAAAAAgKAFlBAAAAAAAAAAAKCwBZQQAAAAAAAAAACwwAWUEAAAAAAAAAAAwNAFlCAwAAAAAAAAAMDgBZQQAAAAAAAAAADQ8AWUEAAAAAAAAAAA4ARABZQgIAAAAAAAAADwBEQFlCAwAAAAAAAAAAREBEgFlBAAAAAAAAAAAARIBEwFlBAAAAAAAAAAAARMBFAFlBAAAAAAAAAAAARMBFQFlBBAAAAAAAAAAARQBFgFlCAAAAAAAAAAAARQBFwFlBAAAAAAAAAAAARcBGAFlBAAAAAAAAAAAARgBGQFlBAAAAAAAAAAAFBwBZQQAAAAAAAAAACQoAWUICAAAAAAAAAABEAERAWUEAAAAAAAAAAAAAAAA</t>
        </r>
      </text>
    </comment>
    <comment ref="A316" authorId="0" shapeId="0" xr:uid="{D63EFA3C-13E4-4DBB-B552-1A765971374D}">
      <text>
        <r>
          <rPr>
            <sz val="9"/>
            <color indexed="81"/>
            <rFont val="Segoe UI"/>
            <charset val="1"/>
          </rPr>
          <t>Insight iXlW00001C0000316R0080105531S00000630P01728LAocjBAQBF1NjaVRlZ2ljLmRhdGEuTW9sZWN1bGUBbwF/ARJTY2lUZWdpYy5Nb2xlY3VsZQAAAQFkAv5qAQAAAAIAAgEXAREAAAD8/AD8AAIAAAAAAADwvwAAAAAAABgAAAD8/AD8AAIAAAAAAADwvwLbiv1l9+T0vwJWDi2yne/nvwAAAAAYAAAA/PwA/AACAAAAAAAA8L8CzczMzMzMBMAAAAAAABgAAAD8/AD8AAIAAAAAAADwvwLbiv1l9+T0vwKI9NvXgfMBwAAAAAAYAAAA/PwA/AACAAAAAAAA8L8Cc2iR7Xw/D8ACVg4tsp3v578AAAAAGAAAAPz8APwAAgAAAAAAAPC/As3MzMzMzATAAuVhodY07/c/AAAAABgAAAD8/AD8AAIAAAAAAADwvwLNzMzMzMwEwALlYaHWNO8HwAAAAAAgAAAA/PwA/AACAAAAAAAA8L8C8BZIUPzYFMAAAAAAABgAAAD8/AD8AAIAAAAAAADwvwJzaJHtfD8PwAKWsgxxrAsCwAAAAAAgAAAA/PwA/AACAAAAAAAA8L8CsXJoke18DsAC5tAi2/n+AkAAAAAAGAAAAPz8APwAAgAAAAAAAPC/AkT67evAOfa/AubQItv5/gJAAAAAABgAAAD8/AD8AAIAAAAAAADwvwLDZKpgVBIawAJWDi2yne/nvwAAAAAcAAAA/PwA/AACAAAAAAAA8L8CYxBYObTICsACat5xio5kDkAAAAAAGAAAAPz8APwAAgAAAAAAAPC/AuC+Dpwzov2/AmrecYqOZA5AAAAAABwAAAD8/AD8AAIAAAAAAADwvwJXfa62Yj8fwAAAAAAAHAAAAPz8APwAAgAAAAAAAPC/AsNkqmBUEhrAAoj029eB8wHAAAAAABgAAAD8/AD8AAIAAAAAAADwvwK1N/jCZKrxvwIIPZtVn2sUQAAAAAAYAAAA/PwA/AACAAAAAAAA8L8ClWWIY108IsACVg4tsp3v578AAAAAGAAAAPz8APwAAgAAAAAAAPC/Ald9rrZiPx/AAuVhodY07wfAAAAAACQAAAD8/AD8AAIAAAAAAADwvwLgvg6cM6L9vwK/nxov3aQZQAAAAAAkAAAA/PwA/AACAAAAAAAA8L8CwqikTkAT2T8CCD2bVZ9rFEAAAAAAGAAAAPz8APwAAgAAAAAAAPC/ApVliGNdPCLAApayDHGsCwLAAAAAAAERAAAA/PwA/AACAAAAAAAA8L8C8BZIUPzYJMACLPaX3ZMHCMAAAAAAARkABAFlBAAAAAAAAAAABAgBZQgMAAAAAAAAAAQMAWUEAAAAAAAAAAAIEAFlBAAAAAAAAAAACBQBZQQAAAAAAAAAAAwYAWUICAAAAAAAAAAQHAFlBAAAAAAAAAAAECABZQgIAAAAAAAAABQkAWUEAAAAAAAAAAAUKAFlCAwAAAAAAAAAHCwBZQQAAAAAAAAAACQwAWUEAAAAAAAAAAAoNAFlBAAAAAAAAAAALDgBZQgMAAAAAAAAACw8AWUEAAAAAAAAAAA0ARABZQQAAAAAAAAAADgBEQFlBAAAAAAAAAAAPAESAWUICAAAAAAAAAABEAETAWUEAAAAAAAAAAABEAEUAWUEAAAAAAAAAAABEQEVAWUIDAAAAAAAAAABFQEWAWUEAAAAAAAAAAAYIAFlBAAAAAAAAAAAMDQBZQgIAAAAAAAAAAESARUBZQQAAAAAAAAAAAAAAAA=</t>
        </r>
      </text>
    </comment>
    <comment ref="A317" authorId="0" shapeId="0" xr:uid="{EB4A6D09-55A8-4062-B84A-A04A4806A851}">
      <text>
        <r>
          <rPr>
            <sz val="9"/>
            <color indexed="81"/>
            <rFont val="Segoe UI"/>
            <charset val="1"/>
          </rPr>
          <t>Insight iXlW00001C0000317R0080105531S00000632P02108LAocjBAQBF1NjaVRlZ2ljLmRhdGEuTW9sZWN1bGUBbwF/ARJTY2lUZWdpYy5Nb2xlY3VsZQAAAQFkAv5qAQAAAAIAAgEcARAAAAD8/AD8AAIAAAAAAADwvwAAAAAAACAAAAD8/AD8AAIAAAAAAADwvwLQRNjw9Er0vwL/snvysFDnPwAAAAAgAAAA/PwA/AACAAAAAAAA8L8C/7J78rBQ5z8C0ETY8PRK9D8AAAAAHAAAAPz8APwAAgAAAAAAAPC/AtEi2/l+avs/AqOSOgFNhO+/AAAAABgAAAD8/AD8AAIAAAAAAADwvwKjkjoBTYTvvwLRItv5fmr7vwAAAAAYAAAA/PwA/AACAAAAAAAA8L8C0bNZ9bnaB0ACDXGsi9to0L8AAAAAHAAAAPz8APwAAgAAAAAAAPC/Ag1xrIvbaNC/AtGzWfW52gfAAAAAABgAAAD8/AD8AAIAAAAAAADwvwL3deCcEaUDwALRItv5fmr7vwAAAAAgAAAA/PwA/AACAAAAAAAA8L8C0bNZ9bnaB0ACWoY41sVt8z8AAAAAHAAAAPz8APwAAgAAAAAAAPC/AgAAAAAAABFAAqOSOgFNhO+/AAAAABgAAAD8/AD8AAIAAAAAAADwvwKjkjoBTYTvvwIAAAAAAAARwAAAAAABEAAAAPz8APwAAgAAAAAAAPC/An+MuWsJeQnAAgR4CyQofty/AAAAABgAAAD8/AD8AAIAAAAAAADwvwJ/jLlrCXkJwALRs1n1udoHwAAAAAAYAAAA/PwA/AACAAAAAAAA8L8CNBE2PL0SFkACDXGsi9to0L8AAAAAGAAAAPz8APwAAgAAAAAAAPC/Avd14JwRpQPAAgAAAAAAABHAAAAAACAAAAD8/AD8AAIAAAAAAADwvwI+eVioNU0PwAK9dJMYBFbqPwAAAAAgAAAA/PwA/AACAAAAAAAA8L8CnoAmwoan/r8CNjy9UpYh0j8AAAAAGAAAAPz8APwAAgAAAAAAAPC/AnPXEvJBzxHAAoC3QILix/K/AAAAABwAAAD8/AD8AAIAAAAAAADwvwI0ETY8vRIWQAJahjjWxW3zPwAAAAAcAAAA/PwA/AACAAAAAAAA8L8CTDeJQWAlG0ACo5I6AU2E778AAAAAGAAAAPz8APwAAgAAAAAAAPC/AqfoSC7/4RbAAgR4CyQofty/AAAAABgAAAD8/AD8AAIAAAAAAADwvwJMN4lBYCUbQALZX3ZPHhb/PwAAAAAYAAAA/PwA/AACAAAAAAAA8L8CQKTfvg4cIEACDXGsi9to0L8AAAAAIAAAAPz8APwAAgAAAAAAAPC/Akw3iUFgJRtAAgIrhxbZTgtAAAAAABgAAAD8/AD8AAIAAAAAAADwvwJApN++DhwgQAJahjjWxW3zPwAAAAAgAAAA/PwA/AACAAAAAAAA8L8C2qz6XG2lIkACo5I6AU2E778AAAAAGAAAAPz8APwAAgAAAAAAAPC/AjQRNjy9EhZAAuELk6mCkRBAAAAAABgAAAD8/AD8AAIAAAAAAADwvwLarPpcbaUiQAL3deCcEaUDwAAAAAABHQAEAWUIAAAAAAAAAAAACAFlCAAAAAAAAAAAAAwBZQQAAAAAAAAAAAAQAWUEAAAAAAAAAAAMFAFlBAAAAAAAAAAAEBgBZQgMAAAAAAAAABAcAWUEAAAAAAAAAAAUIAFlCAAAAAAAAAAAFCQBZQQAAAAAAAAAABgoAWUEAAAAAAAAAAAcLAFlBAAAAAAAAAAAHDABZQgIAAAAAAAAACQ0AWUEAAAAAAAAAAAoOAFlCAgAAAAAAAAALDwBZQgAAAAAAAAAACwBEAFlCAAAAAAAAAAALAERAWUEAAAAAAAAAAA0ARIBZQgMAAAAAAAAADQBEwFlBAAAAAAAAAAAAREBFAFlBAAAAAAAAAAAARIBFQFlBAAAAAAAAAAAARMBFgFlCAwAAAAAAAAAARUBFwFlBAAAAAAAAAAAARUBGAFlCAgAAAAAAAAAARYBGQFlBAAAAAAAAAAAARcBGgFlBAAAAAAAAAAAARkBGwFlBAAAAAAAAAAAMDgBZQQAAAAAAAAAAAEWARgBZQQAAAAAAAAAAAAAAAA=</t>
        </r>
      </text>
    </comment>
    <comment ref="A318" authorId="0" shapeId="0" xr:uid="{2C1A3F66-D763-434D-A310-193DD96AE9C2}">
      <text>
        <r>
          <rPr>
            <sz val="9"/>
            <color indexed="81"/>
            <rFont val="Segoe UI"/>
            <charset val="1"/>
          </rPr>
          <t>Insight iXlW00001C0000318R0080105531S00000634P02380LAocjBAQBF1NjaVRlZ2ljLmRhdGEuTW9sZWN1bGUBbwF/ARJTY2lUZWdpYy5Nb2xlY3VsZQAAAQFkAv5qAQAAAAIAAgEgAREAAAD8/AD8AAIAAAAAAADwvwAAAAAAABgAAAD8/AD8AAIAAAAAAADwvwJ6xyk6ksv0vwLChqdXyjLovwAAAAAYAAAA/PwA/AACAAAAAAAA8L8CescpOpLL9L8CyxDHurgNAsAAAAAAGAAAAPz8APwAAgAAAAAAAPC/AkHxY8xdywTAAu0NvjCZKoi/AAAAABgAAAD8/AD8AAIAAAAAAADwvwACNl66SQwCCMAAAAAAGAAAAPz8APwAAgAAAAAAAPC/AkHxY8xdywTAAjZeukkMAgjAAAAAABgAAAD8/AD8AAIAAAAAAADwvwL+1HjpJjEPwAL6fmq8dJPovwAAAAAgAAAA/PwA/AACAAAAAAAA8L8CescpOpLL9D8CyxDHurgNAsAAAAAAHAAAAPz8APwAAgAAAAAAAPC/AAKoxks3iQESwAAAAAAYAAAA/PwA/AACAAAAAAAA8L8C/tR46SYxD8ACyxDHurgNAsAAAAAAJAAAAPz8APwAAgAAAAAAAPC/AkHxY8xdyxTAAu0NvjCZKpi/AAAAAAEQAAAA/PwA/AACAAAAAAAA8L8CescpOpLL9D8CelioNc37FMAAAAAAHAAAAPz8APwAAgAAAAAAAPC/AkHxY8xdyxTAAkMc6+I2GgjAAAAAACAAAAD8/AD8AAIAAAAAAADwvwJB8WPMXcsEQAJSSZ2AJgIYwAAAAAAgAAAA/PwA/AACAAAAAAAA8L8CNe84RUdyAEACNs07TtGRD8AAAAAAHAAAAPz8APwAAgAAAAAAAPC/AmkAb4EExeE/AljKMsSxLhrAAAAAABgAAAD8/AD8AAIAAAAAAADwvwJB8WPMXcsUwALLEMe6uA0SwAAAAAAYAAAA/PwA/AACAAAAAAAA8L8CIGPuWkL+GcAC2c73U+MlAsAAAAAAGAAAAPz8APwAAgAAAAAAAPC/AnrHKTqSy/Q/AhpR2ht8YR/AAAAAABgAAAD8/AD8AAIAAAAAAADwvwICvAUSFD/uvwJYyjLEsS4awAAAAAAgAAAA/PwA/AACAAAAAAAA8L8C/tR46SYxD8ACgLdAguIHFcAAAAAAHAAAAPz8APwAAgAAAAAAAPC/AiBj7lpC/hnAAocW2c73ExXAAAAAACAAAAD8/AD8AAIAAAAAAADwvwIgY+5aQv4ZwAL6fmq8dJPovwAAAAAYAAAA/PwA/AACAAAAAAAA8L8C/tR46SYxH8ACQxzr4jYaCMAAAAAAGAAAAPz8APwAAgAAAAAAAPC/AmkAb4EExeE/AnxhMlUwSiLAAAAAABgAAAD8/AD8AAIAAAAAAADwvwLYEvJBz2YGQAIaUdobfGEfwAAAAAAYAAAA/PwA/AACAAAAAAAA8L8C/tR46SYxH8AC0m9fB84ZEsAAAAAAGAAAAPz8APwAAgAAAAAAAPC/AiBj7lpC/hnAAhWuR+F6FBvAAAAAABgAAAD8/AD8AAIAAAAAAADwvwLgLZCg+DEiwAKOdXEbDSAVwAAAAAAkAAAA/PwA/AACAAAAAAAA8L8C4C2QoPgxIsACOPjCZKogG8AAAAAAJAAAAPz8APwAAgAAAAAAAPC/AtBm1edqyyTAAtnO91PjJRLAAAAAACQAAAD8/AD8AAIAAAAAAADwvwLQZtXnasskwAJnZmZmZiYYwAAAAAABIQAEAWUEAAAAAAAAAAAECAFlCAgAAAAAAAAABAwBZQQAAAAAAAAAAAgQAWUEAAAAAAAAAAAIFAFlBAAAAAAAAAAADBgBZQgMAAAAAAAAABAcAWUIAAAAAAAAAAAQIAFlBAAAAAAAAAAAFCQBZQgMAAAAAAAAABgoAWUEAAAAAAAAAAAgLAFlBAAAAAAAAAAAJDABZQQAAAAAAAAAACw0AWUIAAAAAAAAAAAsOAFlCAAAAAAAAAAALDwBZQQAAAAAAAAAADABEAFlBAAAAAAAAAAAMAERAWUEAAAAAAAAAAA8ARIBZQQAAAAAAAAAADwBEwFlBAAAAAAAAAAAARABFAFlCAAAAAAAAAAAARABFQFlBAAAAAAAAAAAAREBFgFlCAAAAAAAAAAAAREBFwFlBAAAAAAAAAAAARIBGAFlBAAAAAAAAAAAARIBGQFlBAAAAAAAAAAAARUBGgFlBAAAAAAAAAAAARUBGwFlBAAAAAAAAAAAARoBHAFlBAAAAAAAAAAAARwBHQFlBAAAAAAAAAAAARwBHgFlBAAAAAAAAAAAARwBHwFlBAAAAAAAAAAAGCQBZQQAAAAAAAAAAAEXARoBZQgIAAAAAAAAAAAAAAA=</t>
        </r>
      </text>
    </comment>
    <comment ref="A319" authorId="0" shapeId="0" xr:uid="{972A5685-92DE-4CE3-A52C-56DC14ADA9A5}">
      <text>
        <r>
          <rPr>
            <sz val="9"/>
            <color indexed="81"/>
            <rFont val="Segoe UI"/>
            <charset val="1"/>
          </rPr>
          <t>Insight iXlW00001C0000319R0080105531S00000636P01140LAocjBAQBF1NjaVRlZ2ljLmRhdGEuTW9sZWN1bGUBbwF/ARJTY2lUZWdpYy5Nb2xlY3VsZQAAAQFkAv5qAQAAAAIAAjwBEQAAAPz8APwAAgAAAAAAAPC/AAAAAAAAGAAAAPz8APwAAgAAAAAAAPC/AnRGlPYGX4i/AiS5/If02/e/AAAAABwAAAD8/AD8AAIAAAAAAADwvwIGgZVDi2z0PwIawFsgQfEBwAAAAAAcAAAA/PwA/AACAAAAAAAA8L8Cq8/VVuwv9b8CGsBbIEHxAcAAAAAAGAAAAPz8APwAAgAAAAAAAPC/AnpYqDXNO/Q/AqwcWmQ73w3AAAAAABgAAAD8/AD8AAIAAAAAAADwvwI4+MJkqmD1vwKsHFpkO98NwAAAAAAcAAAA/PwA/AACAAAAAAAA8L8CldQJaCJsqL8CGsBbIEHxEcAAAAAAHAAAAPz8APwAAgAAAAAAAPC/AgaBlUOLbARAAhrAWyBB8RHAAAAAABwAAAD8/AD8AAIAAAAAAADwvwKrz9VW7C8FwAIawFsgQfERwAAAAAAYDAAA/PwA/AACAAAAAAAA8L8C0NVW7C+7DkACrBxaZDvfDcAAAAAAGAAAAPz8APwAAgAAAAAAAPC/AjojSnuDrw/AAqwcWmQ73w3AAAAAABgAAAD8/AD8AAIAAAAAAADwvwJNFYxK6oQUQAIawFsgQfERwAAAAAAYAAAA/PwA/AACAAAAAAAA8L8CikFg5dCiDkACjpduEoPAAcAAAAAAGAAAAPz8APwAAgAAAAAAAPC/AmU730+NFxXAAhrAWyBB8RHAAAAAABgAAAD8/AD8AAIAAAAAAADwvwLOqs/VVqwZQAKsHFpkO98NwAAAAAA8AAQBZQQAAAAAAAAAAAQIAWUIDAAAAAAAAAAEDAFlBAAAAAAAAAAACBABZQQAAAAAAAAAAAwUAWUIDAAAAAAAAAAQGAFlCAgAAAAAAAAAEBwBZQQAAAAAAAAAABQgAWUEAAAAAAAAAAAcJAFlBAAAAAAAAAAAICgBZQQAAAAAAAAAACQsAWUEAAAAAAAAAAAkMAFlBBAAAAAAAAAAKDQBZQQAAAAAAAAAACw4AWUEAAAAAAAAAAAUGAFlBAAAAAAAAAAAAAAAAA==</t>
        </r>
      </text>
    </comment>
    <comment ref="A320" authorId="0" shapeId="0" xr:uid="{5798D429-B18C-44F2-882A-4AAAE5343698}">
      <text>
        <r>
          <rPr>
            <sz val="9"/>
            <color indexed="81"/>
            <rFont val="Segoe UI"/>
            <charset val="1"/>
          </rPr>
          <t>Insight iXlW00001C0000320R0080105531S00000638P01212LAocjBAQBF1NjaVRlZ2ljLmRhdGEuTW9sZWN1bGUBbwF/ARJTY2lUZWdpYy5Nb2xlY3VsZQAAAQFkAv5qAQAAAAIAAgEQIAAAAPz8APwAAgAAAAAAAPC/AAAAAAAAGAAAAPz8APwAAgAAAAAAAPC/AoG3QILix5i/ApF++zpwzve/AAAAABgAAAD8/AD8AAIAAAAAAADwvwJfmEwVjEr1vwK8BRIUP8boPwAAAAAcAAAA/PwA/AACAAAAAAAA8L8CxY8xdy0h9D8CkX77OnDOAcAAAAAAHAAAAPz8APwAAgAAAAAAAPC/Aj2bVZ+rrfW/ApF++zpwzgHAAAAAABgAAAD8/AD8AAIAAAAAAADwvwLnjCjtDb7zPwISFD/G3LUNwAAAAAAYAAAA/PwA/AACAAAAAAAA8L8CG55eKcsQ9r8CEhQ/xty1DcAAAAAAHAAAAPz8APwAAgAAAAAAAPC/AoG3QILix7i/Aq5p3nGKzhHAAAAAABwAAAD8/AD8AAIAAAAAAADwvwLFjzF3LSEEQAKuad5xis4RwAAAAAAcAAAA/PwA/AACAAAAAAAA8L8CBcWPMXetBcACrmnecYrOEcAAAAAAGAwAAPz8APwAAgAAAAAAAPC/At4CCYofYw5AAqOSOgFNhA3AAAAAABgAAAD8/AD8AAIAAAAAAADwvwJWDi2yne8PwALsUbgehWsNwAAAAAAYAAAA/PwA/AACAAAAAAAA8L8CGCZTBaNSFEAC9ihcj8K1EcAAAAAAGAAAAPz8APwAAgAAAAAAAPC/Am+BBMWPMQ5AAn3Qs1n1OQHAAAAAABgAAAD8/AD8AAIAAAAAAADwvwIwTKYKRiUVwAL2KFyPwrURwAAAAAAYAAAA/PwA/AACAAAAAAAA8L8CwcqhRbZzGUACNBE2PL1SDcAAAAAAARAABAFlBAAAAAAAAAAAAAgBZQQAAAAAAAAAAAQMAWUIDAAAAAAAAAAEEAFlBAAAAAAAAAAADBQBZQQAAAAAAAAAABAYAWUIDAAAAAAAAAAUHAFlCAgAAAAAAAAAFCABZQQAAAAAAAAAABgkAWUEAAAAAAAAAAAgKAFlBAAAAAAAAAAAJCwBZQQAAAAAAAAAACgwAWUEAAAAAAAAAAAoNAFlBBAAAAAAAAAALDgBZQQAAAAAAAAAADA8AWUEAAAAAAAAAAAYHAFlBAAAAAAAAAAAAAAAAA==</t>
        </r>
      </text>
    </comment>
    <comment ref="A321" authorId="0" shapeId="0" xr:uid="{608ED0E6-5BF7-443A-B71F-3DECB37DD365}">
      <text>
        <r>
          <rPr>
            <sz val="9"/>
            <color indexed="81"/>
            <rFont val="Segoe UI"/>
            <charset val="1"/>
          </rPr>
          <t>Insight iXlW00001C0000321R0080105531S00000640P01608LAocjBAQBF1NjaVRlZ2ljLmRhdGEuTW9sZWN1bGUBbwF/ARJTY2lUZWdpYy5Nb2xlY3VsZQAAAQFkAv5qAQAAAAIAAgEWARAAAAD8/AD8AAIAAAAAAADwvwAAAAAAABgAAAD8/AD8AAIAAAAAAADwvwLH3LWEfND0PwLXo3A9CtfnPwAAAAAYAAAA/PwA/AACAAAAAAAA8L8AAmTMXUvIB/i/AAAAABgAAAD8/AD8AAIAAAAAAADwvwKOBvAWSNAEQAAAAAAAGAAAAPz8APwAAgAAAAAAAPC/AsfctYR80PQ/AigPC7Wm+QFAAAAAABgAAAD8/AD8AAIAAAAAAADwvwLH3LWEfND0vwIoDwu1pvkBwAAAAAAYAAAA/PwA/AACAAAAAAAA8L8C8fRKWYY4D0AC16NwPQrX5z8AAAAAGAAAAPz8APwAAgAAAAAAAPC/AvH0SlmGOA9AAigPC7Wm+QFAAAAAABgAAAD8/AD8AAIAAAAAAADwvwKq8dJNYtAUQAAAAAAAGAAAAPz8APwAAgAAAAAAAPC/Aqrx0k1i0BRAAlYOLbKd7wdAAAAAABgAAAD8/AD8AAIAAAAAAADwvwLAfR04ZwQaQALXo3A9CtfnPwAAAAAgAAAA/PwA/AACAAAAAAAA8L8CqvHSTWLQFEACRPrt68D5EUAAAAAAGAAAAPz8APwAAgAAAAAAAPC/AsB9HThnBBpAAigPC7Wm+QFAAAAAACAAAAD8/AD8AAIAAAAAAADwvwLx9EpZhjgfQAAAAAAAGAAAAPz8APwAAgAAAAAAAPC/AvH0SlmGOB9AAlYOLbKd7wdAAAAAABwAAAD8/AD8AAIAAAAAAADwvwLx9EpZhjgfQAJE+u3rwPkRQAAAAAAYAAAA/PwA/AACAAAAAAAA8L8Cg8DKoUU2IkACKA8Ltab5AUAAAAAAIAAAAPz8APwAAgAAAAAAAPC/AoPAyqFFNiJAAr8OnDOi9BRAAAAAABgAAAD8/AD8AAIAAAAAAADwvwIcfGEyVdAkQAJWDi2yne8HQAAAAAAYAAAA/PwA/AACAAAAAAAA8L8Cg8DKoUU2IkAC2IFzRpT2GkAAAAAAGAAAAPz8APwAAgAAAAAAAPC/ArU3+MJkaidAAigPC7Wm+QFAAAAAABgAAAD8/AD8AAIAAAAAAADwvwIcfGEyVdAkQAJvgQTFj/EdQAAAAAABFgAEAWUEAAAAAAAAAAAACAFlBAAAAAAAAAAABAwBZQQAAAAAAAAAAAQQAWUEAAAAAAAAAAAIFAFlBAAAAAAAAAAADBgBZQQAAAAAAAAAABgcAWUEAAAAAAAAAAAYIAFlBAAAAAAAAAAAHCQBZQQAAAAAAAAAACAoAWUEAAAAAAAAAAAkLAFlBAAAAAAAAAAAJDABZQgMAAAAAAAAACg0AWUIAAAAAAAAAAAwOAFlBAAAAAAAAAAAODwBZQgMAAAAAAAAADgBEAFlBAAAAAAAAAAAPAERAWUEAAAAAAAAAAABEAESAWUEAAAAAAAAAAABEQETAWUEAAAAAAAAAAABEgEUAWUEAAAAAAAAAAABEwEVAWUEAAAAAAAAAAAoMAFlBAAAAAAAAAAAAAAAAA==</t>
        </r>
      </text>
    </comment>
    <comment ref="A322" authorId="0" shapeId="0" xr:uid="{829430F0-B6D1-446D-B61D-322333732545}">
      <text>
        <r>
          <rPr>
            <sz val="9"/>
            <color indexed="81"/>
            <rFont val="Segoe UI"/>
            <charset val="1"/>
          </rPr>
          <t>Insight iXlW00001C0000322R0080105531S00000642P01300LAocjBAQBF1NjaVRlZ2ljLmRhdGEuTW9sZWN1bGUBbwF/ARJTY2lUZWdpYy5Nb2xlY3VsZQAAAQFkAv5qAQAAAAIAAgERIAAAAPz8APwAAgAAAAAAAPC/AAAAAAAAGAAAAPz8APwAAgAAAAAAAPC/AtBE2PD0Spm/Aj29UpYhjve/AAAAABwAAAD8/AD8AAIAAAAAAADwvwI4+MJkqmD1vwI9LNSa5p0BwAAAAAAcAAAA/PwA/AACAAAAAAAA8L8C4lgXt9EA8z8C3GgAb4GEAcAAAAAAGAAAAPz8APwAAgAAAAAAAPC/Aq5H4XoULgXAAuPHmLuWkPa/AAAAABgAAAD8/AD8AAIAAAAAAADwvwJsCfmgZzMDQAKS7Xw/NV72vwAAAAAYAAAA/PwA/AACAAAAAAAA8L8CQRNhw9OrD8ACyQc9m1UfAcAAAAAAGAAAAPz8APwAAgAAAAAAAPC/AoQvTKYKxgXAAr4wmSoYlcQ/AAAAABgAAAD8/AD8AAIAAAAAAADwvwI8TtGRXH4NQAJ90LNZ9bkAwAAAAAAYAAAA/PwA/AACAAAAAAAA8L8CXkvIBz2bAkACJuSDns2qvz8AAAAAGAAAAPz8APwAAgAAAAAAAPC/Ak2EDU+vFBXAAvp+arx0k/W/AAAAABgAAAD8/AD8AAIAAAAAAADwvwKL/WX35CEQwAJdbcX+snvuPwAAAAAYAAAA/PwA/AACAAAAAAAA8L8CkQ96Nqu+E0ACoImw4emV9L8AAAAAGAAAAPz8APwAAgAAAAAAAPC/AoiFWtO84w1AAkQc6+I2mgzAAAAAABgAAAD8/AD8AAIAAAAAAADwvwJEHOviNpoMQAI3qz5XW7HtPwAAAAAYAAAA/PwA/AACAAAAAAAA8L8CVOOlm8RgFcACjNtoAG+BzD8AAAAAGAAAAPz8APwAAgAAAAAAAPC/AqabxCCwchNAAp0Rpb3BF84/AAAAAAESAAQBZQgAAAAAAAAAAAQIAWUEAAAAAAAAAAAEDAFlBAAAAAAAAAAACBABZQQAAAAAAAAAAAwUAWUEAAAAAAAAAAAQGAFlCAwAAAAAAAAAEBwBZQQAAAAAAAAAABQgAWUEAAAAAAAAAAAUJAFlBAAAAAAAAAAAGCgBZQQAAAAAAAAAABwsAWUICAAAAAAAAAAgMAFlBAAAAAAAAAAAIDQBZQQAAAAAAAAAACQ4AWUEAAAAAAAAAAAoPAFlCAgAAAAAAAAAMAEQAWUEAAAAAAAAAAAsPAFlBAAAAAAAAAAAOAEQAWUEAAAAAAAAAAAAAAAA</t>
        </r>
      </text>
    </comment>
    <comment ref="A323" authorId="0" shapeId="0" xr:uid="{C14F4209-B697-4915-868A-60E0EA11C94D}">
      <text>
        <r>
          <rPr>
            <sz val="9"/>
            <color indexed="81"/>
            <rFont val="Segoe UI"/>
            <charset val="1"/>
          </rPr>
          <t>Insight iXlW00001C0000323R0080105531S00000644P00976LAocjBAQBF1NjaVRlZ2ljLmRhdGEuTW9sZWN1bGUBbwF/ARJTY2lUZWdpYy5Nb2xlY3VsZQAAAQFkAv5qAQAAAAIAAjQBEQAAAPz8APwAAgAAAAAAAPC/AAAAAAAAGAAAAPz8APwAAgAAAAAAAPC/AAJTBaOSOgH4vwAAAAAcAAAA/PwA/AACAAAAAAAA8L8CmG4Sg8DK9L8CFNBE2PD0AcAAAAAAHAAAAPz8APwAAgAAAAAAAPC/AphuEoPAyvQ/AhTQRNjw9AHAAAAAABgAAAD8/AD8AAIAAAAAAADwvwKYbhKDwMr0vwK+UpYhjvUNwAAAAAAYAAAA/PwA/AACAAAAAAAA8L8CmG4Sg8DK9D8CvlKWIY71DcAAAAAAHAAAAPz8APwAAgAAAAAAAPC/AAIbL90kBgESwAAAAAAcAAAA/PwA/AACAAAAAAAA8L8CmG4Sg8DKBMACGy/dJAYBEsAAAAAAHAAAAPz8APwAAgAAAAAAAPC/AphuEoPAygRAAhTQRNjw9BHAAAAAABgAAAD8/AD8AAIAAAAAAADwvwLkpZvEIDAPwALMEMe6uA0OwAAAAAAYAAAA/PwA/AACAAAAAAAA8L8C5KWbxCAwD0ACvlKWIY71DcAAAAAAGAAAAPz8APwAAgAAAAAAAPC/AphuEoPAyhTAAiKOdXEbDRLAAAAAABgAAAD8/AD8AAIAAAAAAADwvwKYbhKDwMoUQAIU0ETY8PQRwAAAAAA0AAQBZQQAAAAAAAAAAAQIAWUIDAAAAAAAAAAEDAFlBAAAAAAAAAAACBABZQQAAAAAAAAAAAwUAWUIDAAAAAAAAAAQGAFlCAgAAAAAAAAAEBwBZQQAAAAAAAAAABQgAWUEAAAAAAAAAAAcJAFlBAAAAAAAAAAAICgBZQQAAAAAAAAAACQsAWUEAAAAAAAAAAAoMAFlBAAAAAAAAAAAFBgBZQQAAAAAAAAAAAAAAAA=</t>
        </r>
      </text>
    </comment>
    <comment ref="A324" authorId="0" shapeId="0" xr:uid="{3BA057E0-BA88-4FA2-8B27-E01B5565627D}">
      <text>
        <r>
          <rPr>
            <sz val="9"/>
            <color indexed="81"/>
            <rFont val="Segoe UI"/>
            <charset val="1"/>
          </rPr>
          <t>Insight iXlW00001C0000324R0080105531S00000646P01068LAocjBAQBF1NjaVRlZ2ljLmRhdGEuTW9sZWN1bGUBbwF/ARJTY2lUZWdpYy5Nb2xlY3VsZQAAAQFkAv5qAQAAAAIAAjgBEAAAAPz8APwAAgAAAAAAAPC/AAAAAAAAGAAAAPz8APwAAgAAAAAAAPC/AmfV52or9oe/Ah3J5T+k3/e/AAAAABgAAAD8/AD8AAIAAAAAAADwvwIE54wo7Q31vwIAkX77OnDoPwAAAAAcAAAA/PwA/AACAAAAAAAA8L8CIGPuWkI+9b8C+aBns+rzAcAAAAAAHAAAAPz8APwAAgAAAAAAAPC/ApPLf0i/ffQ/Ahb7y+7JwwHAAAAAABgAAAD8/AD8AAIAAAAAAADwvwLLMsSxLm71vwKIhVrTvOMNwAAAAAAYAAAA/PwA/AACAAAAAAAA8L8Cd08eFmpN9D8Cpd++DpyzDcAAAAAAHAAAAPz8APwAAgAAAAAAAPC/Aqrx0k1iEKi/AgjOGVHa2xHAAAAAABwAAAD8/AD8AAIAAAAAAADwvwLnjCjtDT4FwAIIzhlR2tsRwAAAAAAcAAAA/PwA/AACAAAAAAAA8L8CWvW52op9BEACFvvL7snDEcAAAAAAGAAAAPz8APwAAgAAAAAAAPC/AmkAb4EExQ/AAs/3U+Olmw3AAAAAABgAAAD8/AD8AAIAAAAAAADwvwL5wmSqYNQOQALBOSNKe4MNwAAAAAAYAAAA/PwA/AACAAAAAAAA8L8C9rnaiv0lFcACD5wzorS3EcAAAAAAGAAAAPz8APwAAgAAAAAAAPC/AkzIBz2blRRAAhb7y+7JwxHAAAAAADgABAFlBAAAAAAAAAAAAAgBZQQAAAAAAAAAAAQMAWUIDAAAAAAAAAAEEAFlBAAAAAAAAAAADBQBZQQAAAAAAAAAABAYAWUIDAAAAAAAAAAUHAFlCAgAAAAAAAAAFCABZQQAAAAAAAAAABgkAWUEAAAAAAAAAAAgKAFlBAAAAAAAAAAAJCwBZQQAAAAAAAAAACgwAWUEAAAAAAAAAAAsNAFlBAAAAAAAAAAAGBwBZQQAAAAAAAAAAAAAAAA=</t>
        </r>
      </text>
    </comment>
    <comment ref="A325" authorId="0" shapeId="0" xr:uid="{95234802-1D38-4DEC-B424-99C6C796AEAC}">
      <text>
        <r>
          <rPr>
            <sz val="9"/>
            <color indexed="81"/>
            <rFont val="Segoe UI"/>
            <charset val="1"/>
          </rPr>
          <t>Insight iXlW00001C0000325R0080105531S00000648P01552LAocjBAQBF1NjaVRlZ2ljLmRhdGEuTW9sZWN1bGUBbwF/ARJTY2lUZWdpYy5Nb2xlY3VsZQAAAQFkAv5qAQAAAAIAAgEVAREAAAD8/AD8AAIAAAAAAADwvwAAAAAAABgAAAD8/AD8AAIAAAAAAADwvwAClkOLbOf7978AAAAAGAAAAPz8APwAAgAAAAAAAPC/AktZhjjWxfS/An/7OnDOCALAAAAAABgAAAD8/AD8AAIAAAAAAADwvwJLWYY41sX0PwJ/+zpwzggCwAAAAAAYAAAA/PwA/AACAAAAAAAA8L8CS1mGONbFBMAClkOLbOf7978AAAAAGAAAAPz8APwAAgAAAAAAAPC/AktZhjjWxfS/AkqdgCbCBg7AAAAAABgAAAD8/AD8AAIAAAAAAADwvwJLWYY41sX0PwJKnYAmwgYOwAAAAAAgAAAA/PwA/AACAAAAAAAA8L8CS1mGONbFBMAAAAAAABgAAAD8/AD8AAIAAAAAAADwvwLxhclUwSgPwAJ/+zpwzggCwAAAAAAYAAAA/PwA/AACAAAAAAAA8L8AApSHhVrT/BHAAAAAAAEQAAAA/PwA/AACAAAAAAAA8L8CS1mGONbFBEAClIeFWtP8EcAAAAAAGAAAAPz8APwAAgAAAAAAAPC/AktZhjjWxRTAApZDi2zn+/e/AAAAABgAAAD8/AD8AAIAAAAAAADwvwLxhclUwSgPwAJKnYAmwgYOwAAAAAAgAAAA/PwA/AACAAAAAAAA8L8CvlKWIY51/T8C5x2n6EguF8AAAAAAIAAAAPz8APwAAgAAAAAAAPC/AvGFyVTBKA9AAm40gLdAAhXAAAAAABgAAAD8/AD8AAIAAAAAAADwvwIqyxDHurgKQAKD4seYu5YJwAAAAAAgAAAA/PwA/AACAAAAAAAA8L8CS1mGONbFFMAAAAAAABgAAAD8/AD8AAIAAAAAAADwvwKe76fGS/cZwAJ/+zpwzggCwAAAAAAgAAAA/PwA/AACAAAAAAAA8L8CS1mGONbFBMACm+Ydp+gIEsAAAAAAGAAAAPz8APwAAgAAAAAAAPC/AktZhjjWxRTAApvmHafoCBLAAAAAABgAAAD8/AD8AAIAAAAAAADwvwKe76fGS/cZwAJKnYAmwgYOwAAAAAABFgAEAWUEAAAAAAAAAAAECAFlCAgAAAAAAAAABAwBZQQAAAAAAAAAAAgQAWUEAAAAAAAAAAAIFAFlBAAAAAAAAAAADBgBZQgMAAAAAAAAABAcAWUIAAAAAAAAAAAQIAFlBAAAAAAAAAAAFCQBZQgIAAAAAAAAABgoAWUEAAAAAAAAAAAgLAFlCAgAAAAAAAAAIDABZQQAAAAAAAAAACg0AWUIAAAAAAAAAAAoOAFlCAAAAAAAAAAAKDwBZQQAAAAAAAAAACwBEAFlBAAAAAAAAAAALAERAWUEAAAAAAAAAAAwARIBZQgAAAAAAAAAADABEwFlBAAAAAAAAAAAAREBFAFlBAAAAAAAAAAAGCQBZQQAAAAAAAAAAAETARQBZQQAAAAAAAAAAAAAAAA=</t>
        </r>
      </text>
    </comment>
    <comment ref="A326" authorId="0" shapeId="0" xr:uid="{4097B7E8-6CA4-4CA7-89F3-273ABDC0EC33}">
      <text>
        <r>
          <rPr>
            <sz val="9"/>
            <color indexed="81"/>
            <rFont val="Segoe UI"/>
            <charset val="1"/>
          </rPr>
          <t>Insight iXlW00001C0000326R0080105531S00000650P01720LAocjBAQBF1NjaVRlZ2ljLmRhdGEuTW9sZWN1bGUBbwF/ARJTY2lUZWdpYy5Nb2xlY3VsZQAAAQFkAv5qAQAAAAIAAgEXAREAAAD8/AD8AAIAAAAAAADwvwAAAAAAABgAAAD8/AD8AAIAAAAAAADwvwLyY8xdS8j0PwJYyjLEsS7ovwAAAAAYAAAA/PwA/AACAAAAAAAA8L8C8mPMXUvI9D8C7S+7Jw8LAsAAAAAAGAAAAPz8APwAAgAAAAAAAPC/AvJjzF1LyARAAAAAAAAcAAAA/PwA/AACAAAAAAAA8L8AAoPix5i7FgjAAAAAABgAAAD8/AD8AAIAAAAAAADwvwLyY8xdS8gEQAKD4seYuxYIwAAAAAAYAAAA/PwA/AACAAAAAAAA8L8C6pWyDHEsD0ACWMoyxLEu6L8AAAAAHAAAAPz8APwAAgAAAAAAAPC/Agr5oGez6vW/AszuycNCLQPAAAAAABgAAAD8/AD8AAIAAAAAAADwvwLZzvdT46XDvwLm0CLb+f4RwAAAAAAYAAAA/PwA/AACAAAAAAAA8L8C6pWyDHEsD0AC++3rwDkjAsAAAAAAAREAAAD8/AD8AAIAAAAAAADwvwIOT6+UZcgUQALtDb4wmSqIvwAAAAAYAAAA/PwA/AACAAAAAAAA8L8CsHJoke38AsACrmnecYoODMAAAAAAIAAAAPz8APwAAgAAAAAAAPC/As/3U+Olm+4/AvvL7snDAhbAAAAAABwAAAD8/AD8AAIAAAAAAADwvwLE0ytlGeL5vwLTTWIQWDkTwAAAAAAcAAAA/PwA/AACAAAAAAAA8L8CDk+vlGXIFEACg+LHmLsWCMAAAAAAGAAAAPz8APwAAgAAAAAAAPC/AsFbIEHx4w7AAsDsnjws1ArAAAAAABgAAAD8/AD8AAIAAAAAAADwvwLRs1n1udoBwAIWjErqBLQYwAAAAAABEAAAAPz8APwAAgAAAAAAAPC/Ag5Pr5RlyBRAAu0vuycPCxLAAAAAACQAAAD8/AD8AAIAAAAAAADwvwLhnBGlvcENwAKMSuoENFEZwAAAAAAkAAAA/PwA/AACAAAAAAAA8L8CYVRSJ6CJ9b8CxSCwcmiRHcAAAAAAIAAAAPz8APwAAgAAAAAAAPC/Ap2iI7n8xxpAAu0vuycPCxLAAAAAACAAAAD8/AD8AAIAAAAAAADwvwIOT6+UZcgUQAJ8gy9MpgoYwAAAAAAYAAAA/PwA/AACAAAAAAAA8L8CxSCwcmiRDUAC7S+7Jw8LEsAAAAAAARgABAFlBAAAAAAAAAAABAgBZQgIAAAAAAAAAAQMAWUEAAAAAAAAAAAIEAFlBAAAAAAAAAAACBQBZQQAAAAAAAAAAAwYAWUIDAAAAAAAAAAQHAFlBAAAAAAAAAAAECABZQQAAAAAAAAAABQkAWUIDAAAAAAAAAAYKAFlBAAAAAAAAAAAHCwBZQgMAAAAAAAAACAwAWUIAAAAAAAAAAAgNAFlBAAAAAAAAAAAJDgBZQQAAAAAAAAAACw8AWUEAAAAAAAAAAA0ARABZQQAAAAAAAAAADgBEQFlBAAAAAAAAAAAARABEgFlBAAAAAAAAAAAARABEwFlBAAAAAAAAAAAAREBFAFlCAAAAAAAAAAAAREBFQFlCAAAAAAAAAAAAREBFgFlBAAAAAAAAAAAGCQBZQQAAAAAAAAAACw0AWUEAAAAAAAAAAAAAAAA</t>
        </r>
      </text>
    </comment>
    <comment ref="A327" authorId="0" shapeId="0" xr:uid="{8B1D902B-7C38-49A6-964D-5C605699E894}">
      <text>
        <r>
          <rPr>
            <sz val="9"/>
            <color indexed="81"/>
            <rFont val="Segoe UI"/>
            <charset val="1"/>
          </rPr>
          <t>Insight iXlW00001C0000327R0080105531S00000652P01868LAocjBAQBF1NjaVRlZ2ljLmRhdGEuTW9sZWN1bGUBbwF/ARJTY2lUZWdpYy5Nb2xlY3VsZQAAAQFkAv5qAQAAAAIAAgEZARAAAAD8/AD8AAIAAAAAAADwvwAAAAAAACAAAAD8/AD8AAIAAAAAAADwvwLNzMzMzMz0vwJt5/up8dLnPwAAAAAgAAAA/PwA/AACAAAAAAAA8L8Cbef7qfHS5z8CzczMzMzM9D8AAAAAHAAAAPz8APwAAgAAAAAAAPC/As3MzMzMzPQ/Am3n+6nx0ue/AAAAABgAAAD8/AD8AAIAAAAAAADwvwJt5/up8dLnvwLNzMzMzMz0vwAAAAAYAAAA/PwA/AACAAAAAAAA8L8CzczMzMzMBEAC7Q2+MJkqiD8AAAAAGAAAAPz8APwAAgAAAAAAAPC/AtiBc0aU9gHAAs3MzMzMzPS/AAAAABgAAAD8/AD8AAIAAAAAAADwvwLtDb4wmSqIPwLNzMzMzMwEwAAAAAAgAAAA/PwA/AACAAAAAAAA8L8CzczMzMzMBEACFoxK6gQ0+D8AAAAAHAAAAPz8APwAAgAAAAAAAPC/AjQzMzMzMw9AAjXvOEVHcue/AAAAABgAAAD8/AD8AAIAAAAAAADwvwL6D+m3rwMIwAAAAAAAGAAAAPz8APwAAgAAAAAAAPC/AuxRuB6F6wfAAs3MzMzMzATAAAAAABgAAAD8/AD8AAIAAAAAAADwvwI17zhFR3LnvwI0MzMzMzMPwAAAAAAYAAAA/PwA/AACAAAAAAAA8L8CzczMzMzMFEAC7Q2+MJkqiD8AAAAAIAAAAPz8APwAAgAAAAAAAPC/AtiBc0aU9gHAAs3MzMzMzPQ/AAAAACAAAAD8/AD8AAIAAAAAAADwvwL7y+7JwwISwAAAAAAAGAAAAPz8APwAAgAAAAAAAPC/AsrDQq1p3gHAAjQzMzMzMw/AAAAAABwAAAD8/AD8AAIAAAAAAADwvwIAAAAAAAAaQAI17zhFR3LnvwAAAAAcAAAA/PwA/AACAAAAAAAA8L8CzczMzMzMFEACFoxK6gQ0+D8AAAAAGAAAAPz8APwAAgAAAAAAAPC/AgU0ETY8/RTAAs3MzMzMzPQ/AAAAABgAAAD8/AD8AAIAAAAAAADwvwI0MzMzMzMfQALtDb4wmSqIPwAAAAAYAAAA/PwA/AACAAAAAAAA8L8CAAAAAAAAGkACHxZqTfMOAkAAAAAAGAAAAPz8APwAAgAAAAAAAPC/AjQzMzMzMx9AAhaMSuoENPg/AAAAABgAAAD8/AD8AAIAAAAAAADwvwIzMzMzMzMiQAI17zhFR3LnvwAAAAAYAAAA/PwA/AACAAAAAAAA8L8CAAAAAAAAGkACG55eKcsQDkAAAAAAARoABAFlCAAAAAAAAAAAAAgBZQgAAAAAAAAAAAAMAWUEAAAAAAAAAAAAEAFlBAAAAAAAAAAADBQBZQQAAAAAAAAAABAYAWUICAAAAAAAAAAQHAFlBAAAAAAAAAAAFCABZQgAAAAAAAAAABQkAWUEAAAAAAAAAAAYKAFlBAAAAAAAAAAAGCwBZQQAAAAAAAAAABwwAWUICAAAAAAAAAAkNAFlBAAAAAAAAAAAKDgBZQgAAAAAAAAAACg8AWUEAAAAAAAAAAAsARABZQgIAAAAAAAAADQBEQFlCAwAAAAAAAAANAESAWUEAAAAAAAAAAA8ARMBZQQAAAAAAAAAAAERARQBZQQAAAAAAAAAAAESARUBZQgMAAAAAAAAAAEUARYBZQgIAAAAAAAAAAEUARcBZQQAAAAAAAAAAAEVARgBZQQAAAAAAAAAADABEAFlBAAAAAAAAAAAARUBFgFlBAAAAAAAAAAAAAAAAA==</t>
        </r>
      </text>
    </comment>
    <comment ref="A328" authorId="0" shapeId="0" xr:uid="{072254A8-21B2-4F0D-BD4A-9D99713EE5F0}">
      <text>
        <r>
          <rPr>
            <sz val="9"/>
            <color indexed="81"/>
            <rFont val="Segoe UI"/>
            <charset val="1"/>
          </rPr>
          <t>Insight iXlW00001C0000328R0080105531S00000654P02312LAocjBAQBF1NjaVRlZ2ljLmRhdGEuTW9sZWN1bGUBbwF/ARJTY2lUZWdpYy5Nb2xlY3VsZQAAAQFkAv5qAQAAAAIAAgEfARAAAAD8/AD8AAIAAAAAAADwvwAAAAAAACAAAAD8/AD8AAIAAAAAAADwvwKvJeSDns30vwJpke18PzXoPwAAAAAgAAAA/PwA/AACAAAAAAAA8L8CMZkqGJXU5z8CryXkg57N9D8AAAAAHAAAAPz8APwAAgAAAAAAAPC/Aq8l5IOezfQ/AjGZKhiV1Oe/AAAAABgAAAD8/AD8AAIAAAAAAADwvwJpke18PzXovwKvJeSDns30vwAAAAAYAAAA/PwA/AACAAAAAAAA8L8CryXkg57NBEAAAAAAABwAAAD8/AD8AAIAAAAAAADwvwKDUUmdgCbCvwI7cM6I0l4FwAAAAAAYAAAA/PwA/AACAAAAAAAA8L8CutqK/WX3AcAC+8vuycNC978AAAAAIAAAAPz8APwAAgAAAAAAAPC/Aq8l5IOezQRAAtxoAG+BBPg/AAAAABwAAAD8/AD8AAIAAAAAAADwvwKHONbFbTQPQAIxmSoYldTnvwAAAAAYAAAA/PwA/AACAAAAAAAA8L8Cz4jS3uAL9L8CnMQgsHJoDcAAAAAAGAAAAPz8APwAAgAAAAAAAPC/ApOpglFJnfQ/Ah8Wak3zDgnAAAAAAAEQAAAA/PwA/AACAAAAAAAA8L8CGy/dJAYBCsACOGdEaW/w1b8AAAAAHAAAAPz8APwAAgAAAAAAAPC/Aj9XW7G/bATAAkJg5dAiWwfAAAAAABgAAAD8/AD8AAIAAAAAAADwvwKvJeSDns0UQAAAAAAAGAAAAPz8APwAAgAAAAAAAPC/AoofY+5aQu6/AnBfB84ZkRTAAAAAABgAAAD8/AD8AAIAAAAAAADwvwKdoiO5/If5PwIVHcnlP2QSwAAAAAAgAAAA/PwA/AACAAAAAAAA8L8CzH9Iv30dAcAC5x2n6Egu5T8AAAAAIAAAAPz8APwAAgAAAAAAAPC/Ar7BFyZTBRHAAqCJsOHpleg/AAAAABgAAAD8/AD8AAIAAAAAAADwvwIZBFYOLXIRwAKQwvUoXI/1vwAAAAAcAAAA/PwA/AACAAAAAAAA8L8C/0P67esAGkACMZkqGJXU578AAAAAHAAAAPz8APwAAgAAAAAAAPC/Aq8l5IOezRRAAtxoAG+BBPg/AAAAABgAAAD8/AD8AAIAAAAAAADwvwL6D+m3rwPfPwJGR3L5D2kWwAAAAAAYAAAA/PwA/AACAAAAAAAA8L8CJuSDns0qF8ACku18PzVe7L8AAAAAGAAAAPz8APwAAgAAAAAAAPC/AmtN845TNB9AAAAAAAAYAAAA/PwA/AACAAAAAAAA8L8C/0P67esAGkACyJi7lpAPAkAAAAAAIAAAAPz8APwAAgAAAAAAAPC/Amsr9pfdMyJAAjGZKhiV1Oe/AAAAABgAAAD8/AD8AAIAAAAAAADwvwJrTfOOUzQfQALcaABvgQT4PwAAAAAgAAAA/PwA/AACAAAAAAAA8L8C/0P67esAGkACNs07TtERDkAAAAAAGAAAAPz8APwAAgAAAAAAAPC/Amsr9pfdMyJAArraiv1l9wHAAAAAABgAAAD8/AD8AAIAAAAAAADwvwKvJeSDns0UQALBOSNKewMSQAAAAAABIQAEAWUIAAAAAAAAAAAACAFlCAAAAAAAAAAAAAwBZQQAAAAAAAAAAAAQAWUEAAAAAAAAAAAMFAFlBAAAAAAAAAAAEBgBZQQAAAAAAAAAABAcAWUICAAAAAAAAAAUIAFlCAAAAAAAAAAAFCQBZQQAAAAAAAAAABgoAWUEAAAAAAAAAAAYLAFlBAAAAAAAAAAAHDABZQQAAAAAAAAAABw0AWUEAAAAAAAAAAAkOAFlBAAAAAAAAAAAKDwBZQQAAAAAAAAAACwBEAFlCAgAAAAAAAAAMAERAWUIAAAAAAAAAAAwARIBZQgAAAAAAAAAADABEwFlBAAAAAAAAAAAOAEUAWUIDAAAAAAAAAA4ARUBZQQAAAAAAAAAADwBFgFlCAgAAAAAAAAAARMBFwFlBAAAAAAAAAAAARQBGAFlBAAAAAAAAAAAARUBGQFlCAwAAAAAAAAAARgBGgFlBAAAAAAAAAAAARgBGwFlCAgAAAAAAAAAARkBHAFlBAAAAAAAAAAAARoBHQFlBAAAAAAAAAAAARwBHgFlBAAAAAAAAAAAKDQBZQgIAAAAAAAAAAEQARYBZQQAAAAAAAAAAAEZARsBZQQAAAAAAAAAAAAAAAA=</t>
        </r>
      </text>
    </comment>
    <comment ref="A329" authorId="0" shapeId="0" xr:uid="{C2CFC737-5A15-4A3A-9117-A87FB5D9456B}">
      <text>
        <r>
          <rPr>
            <sz val="9"/>
            <color indexed="81"/>
            <rFont val="Segoe UI"/>
            <charset val="1"/>
          </rPr>
          <t>Insight iXlW00001C0000329R0080105531S00000656P01000LAocjBAQBF1NjaVRlZ2ljLmRhdGEuTW9sZWN1bGUBbwF/ARJTY2lUZWdpYy5Nb2xlY3VsZQAAAQFkAv5qAQAAAAIAAjQBEQAAAPz8APwAAgAAAAAAAPC/AAAAAAAAGAAAAPz8APwAAgAAAAAAAPC/AjLmriXkg/Q/ArwFEhQ/xug/AAAAABgAAAD8/AD8AAIAAAAAAADwvwJU46WbxCD0PwJdbcX+snsCQAAAAAAYAAAA/PwA/AACAAAAAAAA8L8CMuauJeSDBEACgbdAguLHmD8AAAAAAREAAAD8/AD8AAIAAAAAAADwvwKBt0CC4seovwLu68A5I0oIQAAAAAAYAAAA/PwA/AACAAAAAAAA8L8Cw2SqYFRSBEACzO7Jw0KtCEAAAAAAGAAAAPz8APwAAgAAAAAAAPC/AktZhjjWxQ5AAngLJCh+jOk/AAAAABgAAAD8/AD8AAIAAAAAAADwvwLc14FzRpQOQAKEL0ymCsYCQAAAAAAcAAAA/PwA/AACAAAAAAAA8L8CMuauJeSDFEACgbdAguLHqD8AAAAAGAAAAPz8APwAAgAAAAAAAPC/ApeQD3o2axRAAtV46SYxCPe/AAAAACAAAAD8/AD8AAIAAAAAAADwvwI3qz5XWzEOQAJ7pSxDHGsBwAAAAAAgAAAA/PwA/AACAAAAAAAA8L8CJEp7gy+MGUACe6UsQxxrAcAAAAAAGAAAAPz8APwAAgAAAAAAAPC/AmwJ+aBncxlAAsNkqmBUUg3AAAAAADQABAFlBAAAAAAAAAAABAgBZQgIAAAAAAAAAAQMAWUEAAAAAAAAAAAIEAFlBAAAAAAAAAAACBQBZQQAAAAAAAAAAAwYAWUIDAAAAAAAAAAUHAFlCAgAAAAAAAAAGCABZQQAAAAAAAAAACAkAWUEAAAAAAAAAAAkKAFlCAAAAAAAAAAAJCwBZQQAAAAAAAAAACwwAWUEAAAAAAAAAAAYHAFlBAAAAAAAAAAAAAAAAA==</t>
        </r>
      </text>
    </comment>
    <comment ref="A330" authorId="0" shapeId="0" xr:uid="{B2798BAA-7697-4EF3-8E93-A8F1E4A63FFF}">
      <text>
        <r>
          <rPr>
            <sz val="9"/>
            <color indexed="81"/>
            <rFont val="Segoe UI"/>
            <charset val="1"/>
          </rPr>
          <t>Insight iXlW00001C0000330R0080105531S00000658P00928LAocjBAQBF1NjaVRlZ2ljLmRhdGEuTW9sZWN1bGUBbwF/ARJTY2lUZWdpYy5Nb2xlY3VsZQAAAQFkAv5qAQAAAAIAAjABEQAAAPz8APwAAgAAAAAAAPC/AAAAAAAAGAAAAPz8APwAAgAAAAAAAPC/Au0NvjCZKog/AulILv8h/fc/AAAAABgAAAD8/AD8AAIAAAAAAADwvwLy0k1iEFj1PwJ+rrZif9kBQAAAAAAYAAAA/PwA/AACAAAAAAAA8L8CutqK/WX39L8CtaZ5xyk6AkAAAAAAGAAAAPz8APwAAgAAAAAAAPC/AirLEMe6uPU/AtZW7C+7pw1AAAAAABgAAAD8/AD8AAIAAAAAAADwvwKsHFpkO98EQAIFxY8xdy34PwAAAAABEQAAAPz8APwAAgAAAAAAAPC/AsiYu5aQDwXAAlg5tMh2vvg/AAAAABgAAAD8/AD8AAIAAAAAAADwvwKD4seYu5b0vwIOT6+UZQgOQAAAAAABEQAAAPz8APwAAgAAAAAAAPC/AgCRfvs6cAVAAnDwhclUwRFAAAAAABgAAAD8/AD8AAIAAAAAAADwvwJyio7k8h+iPwKoV8oyxPERQAAAAAAgAAAA/PwA/AACAAAAAAAA8L8C4E+Nl24SD0AC/DpwzohSAkAAAAAAIAAAAPz8APwAAgAAAAAAAPC/ApCg+DHmrgRAAnKKjuTyH6I/AAAAADAABAFlBAAAAAAAAAAABAgBZQgMAAAAAAAAAAQMAWUEAAAAAAAAAAAIEAFlBAAAAAAAAAAACBQBZQQAAAAAAAAAAAwYAWUEAAAAAAAAAAAMHAFlCAgAAAAAAAAAECABZQQAAAAAAAAAABAkAWUICAAAAAAAAAAUKAFlCAAAAAAAAAAAFCwBZQQAAAAAAAAAABwkAWUEAAAAAAAAAAAAAAAA</t>
        </r>
      </text>
    </comment>
    <comment ref="A331" authorId="0" shapeId="0" xr:uid="{5193B3E3-A482-495A-9217-90D3FB30A802}">
      <text>
        <r>
          <rPr>
            <sz val="9"/>
            <color indexed="81"/>
            <rFont val="Segoe UI"/>
            <charset val="1"/>
          </rPr>
          <t>Insight iXlW00001C0000331R0080105531S00000660P00560LAocjBAQBF1NjaVRlZ2ljLmRhdGEuTW9sZWN1bGUBbwF/ARJTY2lUZWdpYy5Nb2xlY3VsZQAAAQFkAv5qAQAAAAIAAhwBEQAAAPz8APwAAgAAAAAAAPC/AAAAAAAAGAAAAPz8APwAAgAAAAAAAPC/Aqk1zTtO0ee/AphuEoPAyvS/AAAAAAERAAAA/PwA/AACAAAAAAAA8L8CaQBvgQTF4T8CxEKtad5xAMAAAAAAAREAAAD8/AD8AAIAAAAAAADwvwI4iUFg5dD3vwKYbhKDwMoEwAAAAAAYAAAA/PwA/AACAAAAAAAA8L8CtoR80LNZAMACaQBvgQTF4b8AAAAAIAAAAPz8APwAAgAAAAAAAPC/AraEfNCzWQDAAiBj7lpCPu4/AAAAACAAAAD8/AD8AAIAAAAAAADwvwICvAUSFL8KwAK06nO1Ffv0vwAAAAAYAAQBZQQAAAAAAAAAAAQIAWUEAAAAAAAAAAAEDAFlBAAAAAAAAAAABBABZQQAAAAAAAAAABAUAWUIAAAAAAAAAAAQGAFlBAAAAAAAAAAAAAAAAA==</t>
        </r>
      </text>
    </comment>
    <comment ref="A332" authorId="0" shapeId="0" xr:uid="{315745B6-D0AC-437A-9925-23087377431D}">
      <text>
        <r>
          <rPr>
            <sz val="9"/>
            <color indexed="81"/>
            <rFont val="Segoe UI"/>
            <charset val="1"/>
          </rPr>
          <t>Insight iXlW00001C0000332R0080105531S00000662P01284LAocjBAQBF1NjaVRlZ2ljLmRhdGEuTW9sZWN1bGUBbwF/ARJTY2lUZWdpYy5Nb2xlY3VsZQAAAQFkAv5qAQAAAAIAAgERIAAAAPz8APwAAgAAAAAAAPC/AAAAAAAAGAAAAPz8APwAAgAAAAAAAPC/AgOaCBueXuc/Al8pyxDHuvS/AAAAABwAAAD8/AD8AAIAAAAAAADwvwJz1xLyQc8BQAK0WfW52or0vwAAAAAYAAAA/PwA/AACAAAAAAAA8L8CUfwYc9cSor8Cl/+Qfvu6BMAAAAAAGAAAAPz8APwAAgAAAAAAAPC/ArwnDwu1pgdAAlH8GHPXEqI/AAAAABgAAAD8/AD8AAIAAAAAAADwvwK8Jw8LtaYHQAKJQWDl0KIEwAAAAAAYAAAA/PwA/AACAAAAAAAA8L8CjblrCfmg6b8CR5T2Bl8YD8AAAAAAGAAAAPz8APwAAgAAAAAAAPC/AnnpJjEIrPW/AkvqBDQRNv2/AAAAABgAAAD8/AD8AAIAAAAAAADwvwJ8YTJVMCr0PwIYJlMFo5IKwAAAAAAYAAAA/PwA/AACAAAAAAAA8L8CSp2AJsKGAUACeekmMQis9T8AAAAAGAAAAPz8APwAAgAAAAAAAPC/AlfsL7snzxFAAsx/SL99Hag/AAAAABgAAAD8/AD8AAIAAAAAAADwvwJX7C+7J88RQAJ8gy9MpooEwAAAAAAYAAAA/PwA/AACAAAAAAAA8L8Cl/+Qfvu6FEACYeXQItv5878AAAAAGAAAAPz8APwAAgAAAAAAAPC/Apf/kH77uhRAAmTuWkI+6A7AAAAAABgAAAD8/AD8AAIAAAAAAADwvwIRWDm0yLYaQAK2FfvL7snzvwAAAAAYAAAA/PwA/AACAAAAAAAA8L8CEVg5tMi2GkACVjAqqRPQDsAAAAAAGAAAAPz8APwAAgAAAAAAAPC/AjWAt0CCoh1AAoofY+5aQgTAAAAAAAERAAQBZQgAAAAAAAAAAAQIAWUEAAAAAAAAAAAEDAFlBAAAAAAAAAAACBABZQQAAAAAAAAAAAgUAWUEAAAAAAAAAAAMGAFlBAAAAAAAAAAADBwBZQQAAAAAAAAAAAwgAWUEAAAAAAAAAAAQJAFlBAAAAAAAAAAAECgBZQQAAAAAAAAAABQsAWUEAAAAAAAAAAAsMAFlCAwAAAAAAAAALDQBZQQAAAAAAAAAADA4AWUEAAAAAAAAAAA0PAFlCAgAAAAAAAAAOAEQAWUICAAAAAAAAAA8ARABZQQAAAAAAAAAAAAAAAA=</t>
        </r>
      </text>
    </comment>
    <comment ref="A333" authorId="0" shapeId="0" xr:uid="{CB25F979-0FA4-4166-98B8-DA0A1857A535}">
      <text>
        <r>
          <rPr>
            <sz val="9"/>
            <color indexed="81"/>
            <rFont val="Segoe UI"/>
            <charset val="1"/>
          </rPr>
          <t>Insight iXlW00001C0000333R0080105531S00000664P01140LAocjBAQBF1NjaVRlZ2ljLmRhdGEuTW9sZWN1bGUBbwF/ARJTY2lUZWdpYy5Nb2xlY3VsZQAAAQFkAv5qAQAAAAIAAjwBEAAAAPz8APwAAgAAAAAAAPC/AAAAAAAAGAAAAPz8APwAAgAAAAAAAPC/AmIyVTAqqcM/At6Th4Va0/e/AAAAABgAAAD8/AD8AAIAAAAAAADwvwI17zhFR3L3vwIm5IOezarTPwAAAAAcAAAA/PwA/AACAAAAAAAA8L8CmbuWkA96878CwOyePCzUAMAAAAAAHAAAAPz8APwAAgAAAAAAAPC/Ahlz1xLyQfc/AsrDQq1p3gHAAAAAABwAAAD8/AD8AAIAAAAAAADwvwK8BRIUP8YBwAKHp1fKMsTvvwAAAAAYAAAA/PwA/AACAAAAAAAA8L8CpHA9CtejAMAC71pCPujZ+j8AAAAAGAAAAPz8APwAAgAAAAAAAPC/AvMf0m9fBwZAAt6Th4Va0/e/AAAAABgAAAD8/AD8AAIAAAAAAADwvwIZc9cS8kH3PwLHSzeJQeANwAAAAAAYAAAA/PwA/AACAAAAAAAA8L8CkzoBTYSNDMACOwFNhA1P/T8AAAAAGAAAAPz8APwAAgAAAAAAAPC/AnWTGARWjgXAAmrecYqOZAhAAAAAABgAAAD8/AD8AAIAAAAAAADwvwLwFkhQ/BjzvwILtaZ5xykHQAAAAAAgAAAA/PwA/AACAAAAAAAA8L8C8x/Sb18HBkAC7Q2+MJkqiD8AAAAAHAAAAPz8APwAAgAAAAAAAPC/Ai1DHOviNhBAAsrDQq1p3gHAAAAAABgAAAD8/AD8AAIAAAAAAADwvwJgdk8eFmoVQALek4eFWtP3vwAAAAA8AAQBZQQAAAAAAAAAAAAIAWUEAAAAAAAAAAAEDAFlCAgAAAAAAAAABBABZQQAAAAAAAAAAAgUAWUICAAAAAAAAAAIGAFlBAAAAAAAAAAAEBwBZQQAAAAAAAAAABAgAWUEAAAAAAAAAAAYJAFlBAAAAAAAAAAAGCgBZQQAAAAAAAAAABgsAWUEAAAAAAAAAAAcMAFlCAAAAAAAAAAAHDQBZQQAAAAAAAAAADQ4AWUEAAAAAAAAAAAMFAFlBAAAAAAAAAAAAAAAAA==</t>
        </r>
      </text>
    </comment>
    <comment ref="A334" authorId="0" shapeId="0" xr:uid="{AFFA21A6-D2F8-476A-BAAD-3B6640FFA1AF}">
      <text>
        <r>
          <rPr>
            <sz val="9"/>
            <color indexed="81"/>
            <rFont val="Segoe UI"/>
            <charset val="1"/>
          </rPr>
          <t>Insight iXlW00001C0000334R0080105531S00000666P02144LAocjBAQBF1NjaVRlZ2ljLmRhdGEuTW9sZWN1bGUBbwF/ARJTY2lUZWdpYy5Nb2xlY3VsZQAAAQFkAv5qAQAAAAIAAgEdAREAAAD8/AD8AAIAAAAAAADwvwAAAAAAABgAAAD8/AD8AAIAAAAAAADwvwACWvW52or9978AAAAAGAAAAPz8APwAAgAAAAAAAPC/Ag8LtaZ5x/S/Av0Yc9cS8gHAAAAAABgAAAD8/AD8AAIAAAAAAADwvwIPC7Wmecf0PwL9GHPXEvIBwAAAAAAYAAAA/PwA/AACAAAAAAAA8L8CDwu1pnnHBMACWvW52or9978AAAAAGAAAAPz8APwAAgAAAAAAAPC/Ag8LtaZ5x/S/AqoT0ETY8A3AAAAAABgAAAD8/AD8AAIAAAAAAADwvwIPC7Wmecf0PwKqE9BE2PANwAAAAAAYAAAA/PwA/AACAAAAAAAA8L8CDwu1pnnHBEACWvW52or9978AAAAAIAAAAPz8APwAAgAAAAAAAPC/Ag8LtaZ5xwTAAAAAAAAYAAAA/PwA/AACAAAAAAAA8L8Cl5APejYrD8AC/Rhz1xLyAcAAAAAAGAAAAPz8APwAAgAAAAAAAPC/AAIEeAskKP4RwAAAAAABEAAAAPz8APwAAgAAAAAAAPC/Ag8LtaZ5xwRAAgR4CyQo/hHAAAAAACAAAAD8/AD8AAIAAAAAAADwvwIPC7WmeccEQAAAAAAAGAAAAPz8APwAAgAAAAAAAPC/Ag8LtaZ5xxTAAlr1udqK/fe/AAAAABgAAAD8/AD8AAIAAAAAAADwvwKXkA96NisPwAKqE9BE2PANwAAAAAAgAAAA/PwA/AACAAAAAAAA8L8CgNk9eVio/T8Cx7q4jQYwF8AAAAAAIAAAAPz8APwAAgAAAAAAAPC/ApeQD3o2Kw9AAiuHFtnO9xTAAAAAABgAAAD8/AD8AAIAAAAAAADwvwJt5/up8dIKQAJ/arx0k5gJwAAAAAAYAAAA/PwA/AACAAAAAAAA8L8Cl5APejYrD0ACPnlYqDXN5z8AAAAAIAAAAPz8APwAAgAAAAAAAPC/Ag8LtaZ5xxTAAAAAAAAYAAAA/PwA/AACAAAAAAAA8L8C001iEFj5GcAC/Rhz1xLyAcAAAAAAIAAAAPz8APwAAgAAAAAAAPC/Ag8LtaZ5xwTAAgR4CyQo/hHAAAAAABgAAAD8/AD8AAIAAAAAAADwvwIPC7WmeccUwAIEeAskKP4RwAAAAAAYDAAA/PwA/AACAAAAAAAA8L8Cl5APejYrD0AC/Rhz1xLyAUAAAAAAGAAAAPz8APwAAgAAAAAAAPC/AtNNYhBY+RnAAqoT0ETY8A3AAAAAACAAAAD8/AD8AAIAAAAAAADwvwLChqdXynIUQAIs9pfdkwcJQAAAAAAYAAAA/PwA/AACAAAAAAAA8L8CcT0K16NwBUACLPaX3ZMHCUAAAAAAGAAAAPz8APwAAgAAAAAAAPC/Ano2qz5XmxJAAiZTBaOSOhJAAAAAABgAAAD8/AD8AAIAAAAAAADwvwI6tMh2vh8JQAImUwWjkjoSQAAAAAABHwAEAWUEAAAAAAAAAAAECAFlCAgAAAAAAAAABAwBZQQAAAAAAAAAAAgQAWUEAAAAAAAAAAAIFAFlBAAAAAAAAAAADBgBZQgMAAAAAAAAAAwcAWUEAAAAAAAAAAAQIAFlCAAAAAAAAAAAECQBZQQAAAAAAAAAABQoAWUICAAAAAAAAAAYLAFlBAAAAAAAAAAAHDABZQQAAAAAAAAAACQ0AWUICAAAAAAAAAAkOAFlBAAAAAAAAAAALDwBZQgAAAAAAAAAACwBEAFlCAAAAAAAAAAALAERAWUEAAAAAAAAAAAwARIBZQQAAAAAAAAAADQBEwFlBAAAAAAAAAAANAEUAWUEAAAAAAAAAAA4ARUBZQgAAAAAAAAAADgBFgFlBAAAAAAAAAAAARcBEgFlBBAAAAAAAAAAARQBGAFlBAAAAAAAAAAAARcBGQFlBAAAAAAAAAAAARcBGgFlBAAAAAAAAAAAARkBGwFlBAAAAAAAAAAAARoBHAFlBAAAAAAAAAAAGCgBZQQAAAAAAAAAAAEWARgBZQQAAAAAAAAAAAEbARwBZQQAAAAAAAAAAAAAAAA=</t>
        </r>
      </text>
    </comment>
    <comment ref="A335" authorId="0" shapeId="0" xr:uid="{65938506-AAE7-42CC-BB24-30A26E09D47A}">
      <text>
        <r>
          <rPr>
            <sz val="9"/>
            <color indexed="81"/>
            <rFont val="Segoe UI"/>
            <charset val="1"/>
          </rPr>
          <t>Insight iXlW00001C0000335R0080105531S00000668P02052LAocjBAQBF1NjaVRlZ2ljLmRhdGEuTW9sZWN1bGUBbwF/ARJTY2lUZWdpYy5Nb2xlY3VsZQAAAQFkAv5qAQAAAAIAAgEcAREAAAD8/AD8AAIAAAAAAADwvwAAAAAAABgAAAD8/AD8AAIAAAAAAADwvwACPE7RkVz+978AAAAAGAAAAPz8APwAAgAAAAAAAPC/AvJjzF1LyPS/ArRZ9bnaCgLAAAAAABgAAAD8/AD8AAIAAAAAAADwvwLyY8xdS8j0PwK0WfW52goCwAAAAAAYAAAA/PwA/AACAAAAAAAA8L8CuY0G8BbIBMACPE7RkVz+978AAAAAGAAAAPz8APwAAgAAAAAAAPC/AvJjzF1LyPS/AtIA3gIJCg7AAAAAABgAAAD8/AD8AAIAAAAAAADwvwLyY8xdS8j0PwLSAN4CCQoOwAAAAAAYAAAA/PwA/AACAAAAAAAA8L8CuY0G8BbIBEACPE7RkVz+978AAAAAIAAAAPz8APwAAgAAAAAAAPC/ArmNBvAWyATAAAAAAAAYAAAA/PwA/AACAAAAAAAA8L8Csr/snjwsD8ACtFn1udoKAsAAAAAAGAAAAPz8APwAAgAAAAAAAPC/AAKt+lxtxf4RwAAAAAABEAAAAPz8APwAAgAAAAAAAPC/ArmNBvAWyARAAq36XG3F/hHAAAAAACAAAAD8/AD8AAIAAAAAAADwvwK5jQbwFsgEQAAAAAAAGAAAAPz8APwAAgAAAAAAAPC/ArmNBvAWyBTAAjxO0ZFc/ve/AAAAABgAAAD8/AD8AAIAAAAAAADwvwKyv+yePCwPwALSAN4CCQoOwAAAAAAgAAAA/PwA/AACAAAAAAAA8L8CYjJVMCqp/T8CjSjtDb4wF8AAAAAAIAAAAPz8APwAAgAAAAAAAPC/ArK/7J48LA9AAvhT46WbBBXAAAAAABgAAAD8/AD8AAIAAAAAAADwvwJPQBNhw9MKQAJhw9MrZZkJwAAAAAAYAAAA/PwA/AACAAAAAAAA8L8Csr/snjwsD0ACINJvXwfO5z8AAAAAIAAAAPz8APwAAgAAAAAAAPC/ArmNBvAWyBTAAAAAAAAYAAAA/PwA/AACAAAAAAAA8L8CtaZ5xyn6GcACtFn1udoKAsAAAAAAIAAAAPz8APwAAgAAAAAAAPC/ArmNBvAWyATAAq36XG3F/hHAAAAAABgAAAD8/AD8AAIAAAAAAADwvwK5jQbwFsgUwAKt+lxtxf4RwAAAAAAYAAAA/PwA/AACAAAAAAAA8L8Csr/snjwsD0ACppvEILDyAUAAAAAAGAAAAPz8APwAAgAAAAAAAPC/ArWmeccp+hnAAtIA3gIJCg7AAAAAACQAAAD8/AD8AAIAAAAAAADwvwK5jQbwFsgUQAI8TtGRXP4HQAAAAAAkAAAA/PwA/AACAAAAAAAA8L8CuY0G8BbIBEACPE7RkVz+B0AAAAAAJAAAAPz8APwAAgAAAAAAAPC/ArK/7J48LA9AAsRCrWne8Q1AAAAAAAEdAAQBZQQAAAAAAAAAAAQIAWUICAAAAAAAAAAEDAFlBAAAAAAAAAAACBABZQQAAAAAAAAAAAgUAWUEAAAAAAAAAAAMGAFlCAwAAAAAAAAADBwBZQQAAAAAAAAAABAgAWUIAAAAAAAAAAAQJAFlBAAAAAAAAAAAFCgBZQgIAAAAAAAAABgsAWUEAAAAAAAAAAAcMAFlBAAAAAAAAAAAJDQBZQgIAAAAAAAAACQ4AWUEAAAAAAAAAAAsPAFlCAAAAAAAAAAALAEQAWUIAAAAAAAAAAAsAREBZQQAAAAAAAAAADABEgFlBAAAAAAAAAAANAETAWUEAAAAAAAAAAA0ARQBZQQAAAAAAAAAADgBFQFlCAAAAAAAAAAAOAEWAWUEAAAAAAAAAAABEgEXAWUEAAAAAAAAAAABFAEYAWUEAAAAAAAAAAABFwEZAWUEAAAAAAAAAAABFwEaAWUEAAAAAAAAAAABFwEbAWUEAAAAAAAAAAAYKAFlBAAAAAAAAAAAARYBGAFlBAAAAAAAAAAAAAAAAA==</t>
        </r>
      </text>
    </comment>
    <comment ref="A336" authorId="0" shapeId="0" xr:uid="{F3BF88FD-4107-4827-B99D-77E6FA2D61D9}">
      <text>
        <r>
          <rPr>
            <sz val="9"/>
            <color indexed="81"/>
            <rFont val="Segoe UI"/>
            <charset val="1"/>
          </rPr>
          <t>Insight iXlW00001C0000336R0080105531S00000670P01744LAocjBAQBF1NjaVRlZ2ljLmRhdGEuTW9sZWN1bGUBbwF/ARJTY2lUZWdpYy5Nb2xlY3VsZQAAAQFkAv5qAQAAAAIAAgEXAREAAAD8/AD8AAIAAAAAAADwvwAAAAAAABgAAAD8/AD8AAIAAAAAAADwvwLUvOMUHcn0vwIcfGEyVTDovwAAAAAYAAAA/PwA/AACAAAAAAAA8L8C1LzjFB3J9L8ClrIMcawLAsAAAAAAGAAAAPz8APwAAgAAAAAAAPC/AtS84xQdyQTAAo9TdCSX/wfAAAAAACAAAAD8/AD8AAIAAAAAAADwvwLUvOMUHckEwAKrPldbsf8RwAAAAAAcAAAA/PwA/AACAAAAAAAA8L8CdnEbDeAtD8ACE4PAyqEFFcAAAAAAGAAAAPz8APwAAgAAAAAAAPC/AnZxGw3gLQ/AAveX3ZOHBRvAAAAAABgAAAD8/AD8AAIAAAAAAADwvwLwp8ZLN8kUwAJzaJHtfP8dwAAAAAAYAAAA/PwA/AACAAAAAAAA8L8C1LzjFB3JBMACc2iR7Xz/HcAAAAAAGAAAAPz8APwAAgAAAAAAAPC/AiWX/5B++xnAAveX3ZOHBRvAAAAAABgAAAD8/AD8AAIAAAAAAADwvwLwp8ZLN8kUwAKrPldbsf8hwAAAAAAYAAAA/PwA/AACAAAAAAAA8L8C1LzjFB3J9L8C95fdk4cFG8AAAAAAIAAAAPz8APwAAgAAAAAAAPC/AiWX/5B++xnAAhODwMqhBRXAAAAAABgAAAD8/AD8AAIAAAAAAADwvwJahjjWxS0fwAJzaJHtfP8dwAAAAAAgAAAA/PwA/AACAAAAAAAA8L8CdnEbDeAtD8AC3+ALk6mCI8AAAAAAGAAAAPz8APwAAgAAAAAAAPC/AiWX/5B++xnAAt/gC5OpgiPAAAAAABgIAAD8/AD8AAIAAAAAAADwvwJahjjWxS0fwAKrPldbsf8hwAAAAAAYAAAA/PwA/AACAAAAAAAA8L8Cx7q4jQYwIsAC3+ALk6mCI8AAAAAAGAAAAPz8APwAAgAAAAAAAPC/AvCnxks3ySTAAqs+V1ux/yHAAAAAABgAAAD8/AD8AAIAAAAAAADwvwLHuriNBjAiwAJRa5p3nIImwAAAAAAYAAAA/PwA/AACAAAAAAAA8L8Cih9j7lpiJ8AC3+ALk6mCI8AAAAAAGAAAAPz8APwAAgAAAAAAAPC/AvCnxks3ySTAAgHeAgmK/yfAAAAAACAAAAD8/AD8AAIAAAAAAADwvwKKH2PuWmInwAJRa5p3nIImwAAAAAABGAAEAWUEAAAAAAAAAAAECAFlCAwAAAAAAAAACAwBZQQAAAAAAAAAAAwQAWUEAAAAAAAAAAAQFAFlBAAAAAAAAAAAFBgBZQgMAAAAAAAAABgcAWUEAAAAAAAAAAAYIAFlBAAAAAAAAAAAHCQBZQgIAAAAAAAAABwoAWUEAAAAAAAAAAAgLAFlBAAAAAAAAAAAJDABZQQAAAAAAAAAACQ0AWUEAAAAAAAAAAAoOAFlCAAAAAAAAAAAKDwBZQQAAAAAAAAAADQBEAFlBAAAAAAAAAAAARABEQFlBBQAAAAAAAAAAREBEgFlBAAAAAAAAAAAAREBEwFlBAAAAAAAAAAAARIBFAFlBAAAAAAAAAAAARMBFQFlBAAAAAAAAAAAARQBFgFlBAAAAAAAAAAAPAEQAWUEAAAAAAAAAAABFQEWAWUEAAAAAAAAAAAAAAAA</t>
        </r>
      </text>
    </comment>
    <comment ref="A337" authorId="0" shapeId="0" xr:uid="{861B203E-433D-488F-9535-E209C129B8EC}">
      <text>
        <r>
          <rPr>
            <sz val="9"/>
            <color indexed="81"/>
            <rFont val="Segoe UI"/>
            <charset val="1"/>
          </rPr>
          <t>Insight iXlW00001C0000337R0080105531S00000672P01036LAocjBAQBF1NjaVRlZ2ljLmRhdGEuTW9sZWN1bGUBbwF/ARJTY2lUZWdpYy5Nb2xlY3VsZQAAAQFkAv5qAQAAAAIAAjgBEQAAAPz8APwAAgAAAAAAAPC/AAAAAAAAGAAAAPz8APwAAgAAAAAAAPC/AAKt+lxtxf73PwAAAAAYAAAA/PwA/AACAAAAAAAA8L8C8mPMXUvI9L8C7S+7Jw8LAkAAAAAAGAAAAPz8APwAAgAAAAAAAPC/AvJjzF1LyPQ/At9xio7k8gFAAAAAACAAAAD8/AD8AAIAAAAAAADwvwIqOpLLf8gEwALJdr6fGi/4PwAAAAAcAAAA/PwA/AACAAAAAAAA8L8C8mPMXUvI9L8CQ61p3nEKDkAAAAAAHAAAAPz8APwAAgAAAAAAAPC/AvJjzF1LyPQ/AjXvOEVH8g1AAAAAABgAAAD8/AD8AAIAAAAAAADwvwIqOpLLf8gEQAKRfvs6cM73PwAAAAAYAAAA/PwA/AACAAAAAAAA8L8AAgK8BRIU/xFAAAAAABgAAAD8/AD8AAIAAAAAAADwvwIqOpLLf8gEwAIJG55eKQsSQAAAAAAgAAAA/PwA/AACAAAAAAAA8L8AApEPejar/hdAAAAAABgAAAD8/AD8AAIAAAAAAADwvwIjbHh6pSwPwAJRa5p3nCIOQAAAAAAYAAAA/PwA/AACAAAAAAAA8L8CKjqSy3/IBMACtFn1udoKGEAAAAAAGAAAAPz8APwAAgAAAAAAAPC/AiNseHqlLA/AAlR0JJf/EBVAAAAAADgABAFlBAAAAAAAAAAABAgBZQQAAAAAAAAAAAQMAWUIDAAAAAAAAAAIEAFlCAAAAAAAAAAACBQBZQQAAAAAAAAAAAwYAWUEAAAAAAAAAAAMHAFlBAAAAAAAAAAAFCABZQQAAAAAAAAAABQkAWUEAAAAAAAAAAAgKAFlCAAAAAAAAAAAJCwBZQQAAAAAAAAAACQwAWUEAAAAAAAAAAAkNAFlBAAAAAAAAAAAGCABZQQAAAAAAAAAAAAAAAA=</t>
        </r>
      </text>
    </comment>
    <comment ref="A338" authorId="0" shapeId="0" xr:uid="{E08BE77A-145E-4BE1-B0AB-6D6A61AA61BC}">
      <text>
        <r>
          <rPr>
            <sz val="9"/>
            <color indexed="81"/>
            <rFont val="Segoe UI"/>
            <charset val="1"/>
          </rPr>
          <t>Insight iXlW00001C0000338R0080105531S00000674P01212LAocjBAQBF1NjaVRlZ2ljLmRhdGEuTW9sZWN1bGUBbwF/ARJTY2lUZWdpYy5Nb2xlY3VsZQAAAQFkAv5qAQAAAAIAAgEQIAAAAPz8APwAAgAAAAAAAPC/AAAAAAAAGAAAAPz8APwAAgAAAAAAAPC/Aj2bVZ+rrZi/Av9D+u3rwPe/AAAAABgAAAD8/AD8AAIAAAAAAADwvwJEi2zn+6n0vwLbG3xhMlXoPwAAAAAcAAAA/PwA/AACAAAAAAAA8L8C9wZfmEwV9D8CP+jZrPrcAcAAAAAAHAAAAPz8APwAAgAAAAAAAPC/Ao25awn5oPW/Aj/o2az63AHAAAAAABgAAAD8/AD8AAIAAAAAAADwvwKKsOHplbLzPwI+CtejcL0NwAAAAAAYAAAA/PwA/AACAAAAAAAA8L8C+g/pt68D9r8CPgrXo3C9DcAAAAAAHAAAAPz8APwAAgAAAAAAAPC/Al8pyxDHuri/AuPHmLuW0BHAAAAAABwAAAD8/AD8AAIAAAAAAADwvwIv3SQGgRUEQALjx5i7ltARwAAAAAAcAAAA/PwA/AACAAAAAAAA8L8CjblrCfmgBcAC48eYu5bQEcAAAAAAGAAAAPz8APwAAgAAAAAAAPC/AhriWBe3UQ5AAlAeFmpNcw3AAAAAABgAAAD8/AD8AAIAAAAAAADwvwKOdXEbDSAQwAJQHhZqTXMNwAAAAAAYAAAA/PwA/AACAAAAAAAA8L8CgnNGlPZGFEACotY07zhFB8AAAAAAGAAAAPz8APwAAgAAAAAAAPC/AqtgVFInIA5AAqvP1VbsLwHAAAAAABgAAAD8/AD8AAIAAAAAAADwvwKCc0aU9kYUQALsUbgehasRwAAAAAAYAAAA/PwA/AACAAAAAAAA8L8COiNKe4NvFcAC7FG4HoWrEcAAAAAAARAABAFlBAAAAAAAAAAAAAgBZQQAAAAAAAAAAAQMAWUIDAAAAAAAAAAEEAFlBAAAAAAAAAAADBQBZQQAAAAAAAAAABAYAWUIDAAAAAAAAAAUHAFlCAgAAAAAAAAAFCABZQQAAAAAAAAAABgkAWUEAAAAAAAAAAAgKAFlBAAAAAAAAAAAJCwBZQQAAAAAAAAAACgwAWUEAAAAAAAAAAAoNAFlBAAAAAAAAAAAKDgBZQQAAAAAAAAAACw8AWUEAAAAAAAAAAAYHAFlBAAAAAAAAAAAAAAAAA==</t>
        </r>
      </text>
    </comment>
    <comment ref="A339" authorId="0" shapeId="0" xr:uid="{5FFCABBB-0901-4E0C-9D3C-0F12399D94FE}">
      <text>
        <r>
          <rPr>
            <sz val="9"/>
            <color indexed="81"/>
            <rFont val="Segoe UI"/>
            <charset val="1"/>
          </rPr>
          <t>Insight iXlW00001C0000339R0080105531S00000676P01116LAocjBAQBF1NjaVRlZ2ljLmRhdGEuTW9sZWN1bGUBbwF/ARJTY2lUZWdpYy5Nb2xlY3VsZQAAAQFkAv5qAQAAAAIAAjwBEQAAAPz8APwAAgAAAAAAAPC/AAAAAAAAGAAAAPz8APwAAgAAAAAAAPC/AAL6D+m3rwP4vwAAAAAcAAAA/PwA/AACAAAAAAAA8L8CzczMzMzM9D8C5j+k374OAsAAAAAAHAAAAPz8APwAAgAAAAAAAPC/As3MzMzMzPS/AuY/pN++DgLAAAAAABgAAAD8/AD8AAIAAAAAAADwvwLNzMzMzMz0PwLjx5i7lhAOwAAAAAAYAAAA/PwA/AACAAAAAAAA8L8CzczMzMzM9L8C48eYu5YQDsAAAAAAHAAAAPz8APwAAgAAAAAAAPC/AALf4AuTqQISwAAAAAAcAAAA/PwA/AACAAAAAAAA8L8ClfYGX5jMBEAC3+ALk6kCEsAAAAAAHAAAAPz8APwAAgAAAAAAAPC/ApX2Bl+YzATAAt/gC5OpAhLAAAAAABgAAAD8/AD8AAIAAAAAAADwvwL7XG3F/jIPQALjx5i7lhAOwAAAAAAYAAAA/PwA/AACAAAAAAAA8L8C+1xtxf4yD8AC48eYu5YQDsAAAAAAGAAAAPz8APwAAgAAAAAAAPC/ArHh6ZWyzBRAAsE5I0p7AwjAAAAAABgAAAD8/AD8AAIAAAAAAADwvwL7XG3F/jIPQALmP6Tfvg4CwAAAAAAYAAAA/PwA/AACAAAAAAAA8L8CseHplbLMFEAC3+ALk6kCEsAAAAAAGAAAAPz8APwAAgAAAAAAAPC/ArHh6ZWyzBTAAt/gC5OpAhLAAAAAADwABAFlBAAAAAAAAAAABAgBZQgMAAAAAAAAAAQMAWUEAAAAAAAAAAAIEAFlBAAAAAAAAAAADBQBZQgMAAAAAAAAABAYAWUICAAAAAAAAAAQHAFlBAAAAAAAAAAAFCABZQQAAAAAAAAAABwkAWUEAAAAAAAAAAAgKAFlBAAAAAAAAAAAJCwBZQQAAAAAAAAAACQwAWUEAAAAAAAAAAAkNAFlBAAAAAAAAAAAKDgBZQQAAAAAAAAAABQYAWUEAAAAAAAAAAAAAAAA</t>
        </r>
      </text>
    </comment>
    <comment ref="A340" authorId="0" shapeId="0" xr:uid="{7F79792A-C003-445A-8AB3-2F390391B8B8}">
      <text>
        <r>
          <rPr>
            <sz val="9"/>
            <color indexed="81"/>
            <rFont val="Segoe UI"/>
            <charset val="1"/>
          </rPr>
          <t>Insight iXlW00001C0000340R0080105531S00000678P01192LAocjBAQBF1NjaVRlZ2ljLmRhdGEuTW9sZWN1bGUBbwF/ARJTY2lUZWdpYy5Nb2xlY3VsZQAAAQFkAv5qAQAAAAIAAgEQARAAAAD8/AD8AAIAAAAAAADwvwAAAAAAABgAAAD8/AD8AAIAAAAAAADwvwACpwpGJXUC+L8AAAAAGAAAAPz8APwAAgAAAAAAAPC/AnrHKTqSy/S/AsKGp1fKMug/AAAAABwAAAD8/AD8AAIAAAAAAADwvwJ6xyk6ksv0PwIE54wo7Q0CwAAAAAAcAAAA/PwA/AACAAAAAAAA8L8CescpOpLL9L8CBOeMKO0NAsAAAAAAGAAAAPz8APwAAgAAAAAAAPC/AnrHKTqSy/Q/ApDC9ShcDw7AAAAAABgAAAD8/AD8AAIAAAAAAADwvwJ6xyk6ksv0vwKQwvUoXA8OwAAAAAAcAAAA/PwA/AACAAAAAAAA8L8AAhlz1xLyARLAAAAAABwAAAD8/AD8AAIAAAAAAADwvwKyne+nxssEQAIZc9cS8gESwAAAAAAcAAAA/PwA/AACAAAAAAAA8L8Csp3vp8bLBMACGXPXEvIBEsAAAAAAGAAAAPz8APwAAgAAAAAAAPC/Am+BBMWPMQ9AApDC9ShcDw7AAAAAABgAAAD8/AD8AAIAAAAAAADwvwJvgQTFjzEPwAKQwvUoXA8OwAAAAAAYAAAA/PwA/AACAAAAAAAA8L8Csp3vp8bLFEACpwpGJXUCCMAAAAAAGAAAAPz8APwAAgAAAAAAAPC/Am+BBMWPMQ9AAgTnjCjtDQLAAAAAABgAAAD8/AD8AAIAAAAAAADwvwKyne+nxssUQAIZc9cS8gESwAAAAAAYAAAA/PwA/AACAAAAAAAA8L8Csp3vp8bLFMACGXPXEvIBEsAAAAAAARAABAFlBAAAAAAAAAAAAAgBZQQAAAAAAAAAAAQMAWUIDAAAAAAAAAAEEAFlBAAAAAAAAAAADBQBZQQAAAAAAAAAABAYAWUIDAAAAAAAAAAUHAFlCAgAAAAAAAAAFCABZQQAAAAAAAAAABgkAWUEAAAAAAAAAAAgKAFlBAAAAAAAAAAAJCwBZQQAAAAAAAAAACgwAWUEAAAAAAAAAAAoNAFlBAAAAAAAAAAAKDgBZQQAAAAAAAAAACw8AWUEAAAAAAAAAAAYHAFlBAAAAAAAAAAAAAAAAA==</t>
        </r>
      </text>
    </comment>
    <comment ref="A341" authorId="0" shapeId="0" xr:uid="{D0D1036D-5259-495C-87C7-2E8783562FC7}">
      <text>
        <r>
          <rPr>
            <sz val="9"/>
            <color indexed="81"/>
            <rFont val="Segoe UI"/>
            <charset val="1"/>
          </rPr>
          <t>Insight iXlW00001C0000341R0080105531S00000680P02052LAocjBAQBF1NjaVRlZ2ljLmRhdGEuTW9sZWN1bGUBbwF/ARJTY2lUZWdpYy5Nb2xlY3VsZQAAAQFkAv5qAQAAAAIBAgEbJAAAAPz8APwAAgAAAAAAAPC/AAAAAAAAGAAAAPz8APwAAgAAAAAAAPC/An4dOGdEaeG/AtsbfGEyVfY/AAAAABgAAAD8/AD8AAIAAAAAAADwvwJYyjLEsS4AwAKu2F92Tx76PwAAAAAYAAAA/PwA/AACAAAAAAAA8L8CduCcEaW92T8Ct9EA3gKJBEAAAAAAHAAAAPz8APwAAgAAAAAAAPC/AsZtNIC3wAfAAmhEaW/whd0/AAAAABgAAAD8/AD8AAIAAAAAAADwvwK30QDeAokEwAJSuB6F61EIQAAAAAAYAAAA/PwA/AACAAAAAAAA8L8CC7Wmeccpwr8Cs53vp8bLD0AAAAAAGAAAAPz8APwAAgAAAAAAAPC/AkoMAiuH1hHAApCg+DHmruM/AAAAABgAAAD8/AD8AAIAAAAAAADwvwKSXP5D+u35vwIOvjCZKtgQQAAAAAAgAAAA/PwA/AACAAAAAAAA8L8CXCBB8WNMFMAC63O1FfvL/z8AAAAAGAgAAPz8APwAAgAAAAAAAPC/Aru4jQbwVhXAAj9XW7G/7OK/AAAAABgAAAD8/AD8AAIAAAAAAADwvwJYObTIdn4TwAJYyjLEsS4AwAAAAAAYCAAA/PwA/AACAAAAAAAA8L8CRdjw9EpZG8ACP1dbsb/s4r8AAAAAIAAAAPz8APwAAgAAAAAAAPC/AqfoSC7/oQvAAuXyH9Jv3wPAAAAAABwAAAD8/AD8AAIAAAAAAADwvwJ1ApoIG14YwAIPC7WmeUcHwAAAAAAYAAAA/PwA/AACAAAAAAAA8L8CmpmZmZnZHsACkKD4Meau4z8AAAAAGAAAAPz8APwAAgAAAAAAAPC/Aoxs5/upMR3AAljKMsSxLgDAAAAAABgAAAD8/AD8AAIAAAAAAADwvwJ1ApoIG14YwAISpb3BF6YRwAAAAAAYAAAA/PwA/AACAAAAAAAA8L8CgLdAguJnIsACaERpb/CF3T8AAAAAGAAAAPz8APwAAgAAAAAAAPC/AoiFWtO8YxzAAutztRX7y/8/AAAAABgAAAD8/AD8AAIAAAAAAADwvwK5jQbwFigkwAJz+Q/pt6/6PwAAAAAYAAAA/PwA/AACAAAAAAAA8L8C3UYDeAvkH8AC6bevA+eMCUAAAAAAGAAAAPz8APwAAgAAAAAAAPC/ArAD54wo7SLAAlK4HoXrUQhAAAAAABgAAAD8/AD8AAIAAAAAAADwvwJseHqlLCMnwAJE+u3rwDn4PwAAAAAkAAAA/PwA/AACAAAAAAAA8L8CUrgehetxJ8ACKH6MuWsJCEAAAAAAJAAAAPz8APwAAgAAAAAAAPC/Aq7YX3ZPHirAAhb7y+7Jw/U/AAAAACQAAAD8/AD8AAIAAAAAAADwvwIVrkfhetQmwAIxKqkT0ESYPwAAAAABHQAEAWUEAAAAAAAAAAAECAFlCAgAAAAAAAAABAwBZQQAAAAAAAAAAAgQAWUEAAAAAAAAAAAIFAFlBAAAAAAAAAAADBgBZQgIAAAAAAAAABAcAWUEAAAAAAAAAAAUIAFlCAgAAAAAAAAAHCQBZQgAAAAAAAAAACgcAWUEEAAAAAAAAAAoLAFlBAAAAAAAAAAAKDABZQQAAAAAAAAAACw0AWUIAAAAAAAAAAAsOAFlBAAAAAAAAAAAMDwBZQQUAAAAAAAAADABEAFlBAAAAAAAAAAAOAERAWUEAAAAAAAAAAA8ARIBZQgMAAAAAAAAADwBEwFlBAAAAAAAAAAAARIBFAFlBAAAAAAAAAAAARMBFQFlCAgAAAAAAAAAARQBFgFlCAgAAAAAAAAAARQBFwFlBAAAAAAAAAAAARcBGAFlBAAAAAAAAAAAARcBGQFlBAAAAAAAAAAAARcBGgFlBAAAAAAAAAAAGCABZQQAAAAAAAAAADgBEAFlBAAAAAAAAAAAARUBFgFlBAAAAAAAAAAAAAAAAA==</t>
        </r>
      </text>
    </comment>
    <comment ref="A342" authorId="0" shapeId="0" xr:uid="{CA1F2697-E2BA-4996-A003-3C6DF871B2D6}">
      <text>
        <r>
          <rPr>
            <sz val="9"/>
            <color indexed="81"/>
            <rFont val="Segoe UI"/>
            <charset val="1"/>
          </rPr>
          <t>Insight iXlW00001C0000342R0080105531S00000682P01564LAocjBAQBF1NjaVRlZ2ljLmRhdGEuTW9sZWN1bGUBbwF/ARJTY2lUZWdpYy5Nb2xlY3VsZQAAAQFkAv5qAQAAAAIAAgEVAREAAAD8/AD8AAIAAAAAAADwvwAAAAAAABgAAAD8/AD8AAIAAAAAAADwvwJ6xyk6ksv0vwKpNc07TtHnvwAAAAAYAAAA/PwA/AACAAAAAAAA8L8CQfFjzF3LBMAAAAAAACAAAAD8/AD8AAIAAAAAAADwvwJB8WPMXcsEwAI2XrpJDAL4PwAAAAAcAAAA/PwA/AACAAAAAAAA8L8C/tR46SYxD8ACwoanV8oy6L8AAAAAGAAAAPz8APwAAgAAAAAAAPC/AkHxY8xdyxTAAAAAAAAYAAAA/PwA/AACAAAAAAAA8L8C/tR46SYxD8ACyxDHurgNAsAAAAAAGAAAAPz8APwAAgAAAAAAAPC/AkHxY8xdyxTAAjZeukkMAvg/AAAAABgAAAD8/AD8AAIAAAAAAADwvwIgY+5aQv4ZwALChqdXyjLovwAAAAAYAAAA/PwA/AACAAAAAAAA8L8CQfFjzF3LBMACQxzr4jYaCMAAAAAAGAAAAPz8APwAAgAAAAAAAPC/AiBj7lpC/hnAAr1SliGO9QFAAAAAABgAAAD8/AD8AAIAAAAAAADwvwL+1HjpJjEPwAK9UpYhjvUBQAAAAAAYAAAA/PwA/AACAAAAAAAA8L8C4umVsgwxH8AAAAAAABgAAAD8/AD8AAIAAAAAAADwvwIgY+5aQv4ZwALLEMe6uA0CwAAAAAABEAAAAPz8APwAAgAAAAAAAPC/AmIyVTAqqfO/AuSlm8QgMAPAAAAAABgAAAD8/AD8AAIAAAAAAADwvwIbnl4py5ADwAKoxks3iQESwAAAAAAYAAAA/PwA/AACAAAAAAAA8L8C4umVsgwxH8ACNl66SQwC+D8AAAAAGAAAAPz8APwAAgAAAAAAAPC/AiPb+X5qvMy/AhgmUwWjEgzAAAAAACAAAAD8/AD8AAIAAAAAAADwvwJQHhZqTXMMwAJoRGlv8AUWwAAAAAAYAAAA/PwA/AACAAAAAAAA8L8CqaROQBNh778CzhlR2hs8E8AAAAAAGAAAAPz8APwAAgAAAAAAAPC/AgR4CyQo/gnAAuC+Dpwz4hvAAAAAAAEWAAQBZQQAAAAAAAAAAAQIAWUEAAAAAAAAAAAIDAFlCAAAAAAAAAAACBABZQQAAAAAAAAAABAUAWUEAAAAAAAAAAAQGAFlBAAAAAAAAAAAFBwBZQgMAAAAAAAAABQgAWUEAAAAAAAAAAAYJAFlBAAAAAAAAAAAHCgBZQQAAAAAAAAAABwsAWUEAAAAAAAAAAAgMAFlCAgAAAAAAAAAIDQBZQQAAAAAAAAAACQ4AWUEAAAAAAAAAAAkPAFlCAgAAAAAAAAAKAEQAWUICAAAAAAAAAA4AREBZQQAAAAAAAAAADwBEgFlBAAAAAAAAAAAPAETAWUEAAAAAAAAAAABEgEUAWUEAAAAAAAAAAAwARABZQQAAAAAAAAAAAERARMBZQgIAAAAAAAAAAAAAAA=</t>
        </r>
      </text>
    </comment>
    <comment ref="A343" authorId="0" shapeId="0" xr:uid="{08ED56C6-5C07-4607-AD50-A5CA18B41F39}">
      <text>
        <r>
          <rPr>
            <sz val="9"/>
            <color indexed="81"/>
            <rFont val="Segoe UI"/>
            <charset val="1"/>
          </rPr>
          <t>Insight iXlW00001C0000343R0080105531S00000684P01140LAocjBAQBF1NjaVRlZ2ljLmRhdGEuTW9sZWN1bGUBbwF/ARJTY2lUZWdpYy5Nb2xlY3VsZQAAAQFkAv5qAQAAAAIAAjwBEAAAAPz8APwAAgAAAAAAAPC/AAAAAAAAGAAAAPz8APwAAgAAAAAAAPC/Akw3iUFg5cA/AjzfT42Xbve/AAAAABgAAAD8/AD8AAIAAAAAAADwvwKpNc07TtH3vwLf4AuTqYLVPwAAAAAcAAAA/PwA/AACAAAAAAAA8L8CXrpJDAIr9L8CFD/G3LWEAMAAAAAAHAAAAPz8APwAAgAAAAAAAPC/Aka28/3UePY/AonS3uALkwHAAAAAABwAAAD8/AD8AAIAAAAAAADwvwIE54wo7Q0CwAJJLv8h/fbtvwAAAAAYAAAA/PwA/AACAAAAAAAA8L8CDr4wmSoYAcACgNk9eVio+z8AAAAAGAAAAPz8APwAAgAAAAAAAPC/AtEi2/l+agVAAkA1XrpJDPe/AAAAABgAAAD8/AD8AAIAAAAAAADwvwJKDAIrhxb2PwLeAgmKH2MNwAAAAAAkAAAA/PwA/AACAAAAAAAA8L8C4C2QoPgxDcAC0gDeAgmK/j8AAAAAJAAAAPz8APwAAgAAAAAAAPC/AkjhehSuRwbAApwzorQ3+AhAAAAAACQAAAD8/AD8AAIAAAAAAADwvwJaZDvfT430vwLx9EpZhrgHQAAAAAAgAAAA/PwA/AACAAAAAAAA8L8C001iEFg5BUACGy/dJAaBtT8AAAAAHAAAAPz8APwAAgAAAAAAAPC/An9qvHSTmA9AAov9ZffkYQHAAAAAABgAAAD8/AD8AAIAAAAAAADwvwIX2c73U+MUQAJEi2zn+6n2vwAAAAA8AAQBZQQAAAAAAAAAAAAIAWUEAAAAAAAAAAAEDAFlCAgAAAAAAAAABBABZQQAAAAAAAAAAAgUAWUICAAAAAAAAAAIGAFlBAAAAAAAAAAAEBwBZQQAAAAAAAAAABAgAWUEAAAAAAAAAAAYJAFlBAAAAAAAAAAAGCgBZQQAAAAAAAAAABgsAWUEAAAAAAAAAAAcMAFlCAAAAAAAAAAAHDQBZQQAAAAAAAAAADQ4AWUEAAAAAAAAAAAMFAFlBAAAAAAAAAAAAAAAAA==</t>
        </r>
      </text>
    </comment>
    <comment ref="A344" authorId="0" shapeId="0" xr:uid="{F7DA2BD6-DCEC-48BE-86D4-5573612D3CB7}">
      <text>
        <r>
          <rPr>
            <sz val="9"/>
            <color indexed="81"/>
            <rFont val="Segoe UI"/>
            <charset val="1"/>
          </rPr>
          <t>Insight iXlW00001C0000344R0080105531S00000686P01904LAocjBAQBF1NjaVRlZ2ljLmRhdGEuTW9sZWN1bGUBbwF/ARJTY2lUZWdpYy5Nb2xlY3VsZQAAAQFkAv5qAQAAAAIAAgEaARAAAAD8/AD8AAIAAAAAAADwvwAAAAAAABgAAAD8/AD8AAIAAAAAAADwvwACa7x0kxgE+L8AAAAAGAAAAPz8APwAAgAAAAAAAPC/AqabxCCwcvc/Ald9rrZif90/AAAAABwAAAD8/AD8AAIAAAAAAADwvwLG/rJ78rD2PwKl374OnDP/vwAAAAAYAAAA/PwA/AACAAAAAAAA8L8CzczMzMzM9L8CEVg5tMj2AcAAAAAAGAAAAPz8APwAAgAAAAAAAPC/Ap2iI7n8hwJAAhdIUPwYc+e/AAAAABgAAAD8/AD8AAIAAAAAAADwvwLNzMzMzMz0vwJGtvP91PgNwAAAAAAYAAAA/PwA/AACAAAAAAAA8L8CBqOSOgHNBMACa7x0kxgE+L8AAAAAHAAAAPz8APwAAgAAAAAAAPC/AgajkjoBzQTAAi1DHOvi9hHAAAAAABgAAAD8/AD8AAIAAAAAAADwvwACLUMc6+L2EcAAAAAAGAAAAPz8APwAAgAAAAAAAPC/AmwJ+aBnMw/AAhFYObTI9gHAAAAAABgAAAD8/AD8AAIAAAAAAADwvwIGo5I6Ac0EwAAAAAAAGAAAAPz8APwAAgAAAAAAAPC/AmwJ+aBnMw/AAka28/3U+A3AAAAAACQAAAD8/AD8AAIAAAAAAADwvwLNzMzMzMz0PwIawFsgQfEUwAAAAAAkAAAA/PwA/AACAAAAAAAA8L8CzczMzMzM9D8CRrbz/dT4DcAAAAAAJAAAAPz8APwAAgAAAAAAAPC/AAIrhxbZzvcXwAAAAAAYAAAA/PwA/AACAAAAAAAA8L8CBqOSOgHNFMACa7x0kxgE+L8AAAAAGAAAAPz8APwAAgAAAAAAAPC/Aqyt2F92Tw3AAk0VjErqBPE/AAAAABgAAAD8/AD8AAIAAAAAAADwvwIGo5I6Ac0UwAItQxzr4vYRwAAAAAAgAAAA/PwA/AACAAAAAAAA8L8CBqOSOgHNFMAAAAAAACAAAAD8/AD8AAIAAAAAAADwvwI51sVtNAAawAIRWDm0yPYBwAAAAAAYAAAA/PwA/AACAAAAAAAA8L8CVVInoIkwCsACbJp3nKIjBEAAAAAAGAAAAPz8APwAAgAAAAAAAPC/ApwzorQ3eBTAAh8Wak3zjuU/AAAAACQAAAD8/AD8AAIAAAAAAADwvwI51sVtNAAawAJGtvP91PgNwAAAAAAkAAAA/PwA/AACAAAAAAAA8L8CBqOSOgHNFMACK4cW2c73F8AAAAAAGAAAAPz8APwAAgAAAAAAAPC/Aoj029eBMx/AAmu8dJMYBPi/AAAAAAEbAAQBZQQAAAAAAAAAAAAIAWUEAAAAAAAAAAAEDAFlCAgAAAAAAAAABBABZQQAAAAAAAAAAAgUAWUEAAAAAAAAAAAQGAFlCAwAAAAAAAAAEBwBZQQAAAAAAAAAABggAWUEAAAAAAAAAAAYJAFlBAAAAAAAAAAAHCgBZQgMAAAAAAAAABwsAWUEAAAAAAAAAAAgMAFlCAwAAAAAAAAAJDQBZQQAAAAAAAAAACQ4AWUEAAAAAAAAAAAkPAFlBAAAAAAAAAAAKAEQAWUEAAAAAAAAAAAsAREBZQQAAAAAAAAAADABEgFlBAAAAAAAAAAAARABEwFlCAAAAAAAAAAAARABFAFlBAAAAAAAAAAAAREBFQFlBAAAAAAAAAAAAREBFgFlBAAAAAAAAAAAARIBFwFlBAAAAAAAAAAAARIBGAFlBAAAAAAAAAAAARQBGQFlBAAAAAAAAAAADBQBZQQAAAAAAAAAACgwAWUEAAAAAAAAAAAAAAAA</t>
        </r>
      </text>
    </comment>
    <comment ref="A345" authorId="0" shapeId="0" xr:uid="{688DBD27-395A-4834-BAB2-BFA35FD3D753}">
      <text>
        <r>
          <rPr>
            <sz val="9"/>
            <color indexed="81"/>
            <rFont val="Segoe UI"/>
            <charset val="1"/>
          </rPr>
          <t>Insight iXlW00001C0000345R0080105531S00000688P01876LAocjBAQBF1NjaVRlZ2ljLmRhdGEuTW9sZWN1bGUBbwF/ARJTY2lUZWdpYy5Nb2xlY3VsZQAAAQFkAv5qAQAAAAIAAgEZARAAAAD8/AD8AAIAAAAAAADwvwAAAAAAACAAAAD8/AD8AAIAAAAAAADwvwKvJeSDns30vwJpke18PzXoPwAAAAAgAAAA/PwA/AACAAAAAAAA8L8CMZkqGJXU5z8CryXkg57N9D8AAAAAHAAAAPz8APwAAgAAAAAAAPC/Aq8l5IOezfQ/AjGZKhiV1Oe/AAAAABgAAAD8/AD8AAIAAAAAAADwvwIxmSoYldTnvwKvJeSDns30vwAAAAAYAAAA/PwA/AACAAAAAAAA8L8CryXkg57NBEAAAAAAABgAAAD8/AD8AAIAAAAAAADwvwKsHFpkO98BwAJseHqlLEP3vwAAAAAYAAAA/PwA/AACAAAAAAAA8L8CpHA9CtejwL8CdEaU9gZfBcAAAAAAIAAAAPz8APwAAgAAAAAAAPC/Aq8l5IOezQRAAk0VjErqBPg/AAAAABwAAAD8/AD8AAIAAAAAAADwvwK/DpwzojQPQAJpke18PzXovwAAAAAYAAAA/PwA/AACAAAAAAAA8L8CDXGsi9voCcACOGdEaW/w1b8AAAAAGAAAAPz8APwAAgAAAAAAAPC/AjGZKhiVVATAAno2qz5XWwfAAAAAAAEQAAAA/PwA/AACAAAAAAAA8L8CswxxrIvb878C1ZrmHadoDcAAAAAAGAAAAPz8APwAAgAAAAAAAPC/AnRGlPYGX/U/AvnCZKpg1AfAAAAAABwAAAD8/AD8AAIAAAAAAADwvwLzsFBrmjcQQAK62or9ZfcBwAAAAAAYAAAA/PwA/AACAAAAAAAA8L8CETY8vVIWFUACg1FJnYAmwr8AAAAAIAAAAPz8APwAAgAAAAAAAPC/AirLEMe6OAbAAmdmZmZmZvE/AAAAACAAAAD8/AD8AAIAAAAAAADwvwKpNc07TtESwAKvJeSDns3kvwAAAAAYAAAA/PwA/AACAAAAAAAA8L8CFa5H4XoUFkACdy0hH/RsBMAAAAAAIAAAAPz8APwAAgAAAAAAAPC/AlR0JJf/UBZAAljKMsSxLvU/AAAAABwAAAD8/AD8AAIAAAAAAADwvwJCYOXQIhsZQALPiNLe4Av0vwAAAAAYAAAA/PwA/AACAAAAAAAA8L8C9UpZhjjWFsACGy/dJAaB3T8AAAAAIAAAAPz8APwAAgAAAAAAAPC/ArYV+8vuiRhAAtuK/WX3ZA/AAAAAABgAAAD8/AD8AAIAAAAAAADwvwKOBvAWSBAfQAKC4seYu5bxvwAAAAAYAAAA/PwA/AACAAAAAAAA8L8CBHgLJCj+FEACjErqBDSRFMAAAAAAARoABAFlCAAAAAAAAAAAAAgBZQgAAAAAAAAAAAAMAWUEAAAAAAAAAAAAEAFlBAAAAAAAAAAADBQBZQQAAAAAAAAAABAYAWUEAAAAAAAAAAAQHAFlCAwAAAAAAAAAFCABZQgAAAAAAAAAABQkAWUEAAAAAAAAAAAYKAFlBAAAAAAAAAAAGCwBZQgIAAAAAAAAABwwAWUEAAAAAAAAAAAcNAFlBAAAAAAAAAAAJDgBZQQAAAAAAAAAACQ8AWUEAAAAAAAAAAAoARABZQgAAAAAAAAAACgBEQFlBAAAAAAAAAAAOAESAWUIDAAAAAAAAAA8ARMBZQgAAAAAAAAAADwBFAFlBAAAAAAAAAAAAREBFQFlBAAAAAAAAAAAARIBFgFlBAAAAAAAAAAAARQBFwFlBAAAAAAAAAAAARYBGAFlBAAAAAAAAAAALDABZQQAAAAAAAAAAAESARQBZQQAAAAAAAAAAAAAAAA=</t>
        </r>
      </text>
    </comment>
    <comment ref="A346" authorId="0" shapeId="0" xr:uid="{026F08E1-DEFD-4B18-AC80-0F8BE6D3C56C}">
      <text>
        <r>
          <rPr>
            <sz val="9"/>
            <color indexed="81"/>
            <rFont val="Segoe UI"/>
            <charset val="1"/>
          </rPr>
          <t>Insight iXlW00001C0000346R0080105531S00000690P01880LAocjBAQBF1NjaVRlZ2ljLmRhdGEuTW9sZWN1bGUBbwF/ARJTY2lUZWdpYy5Nb2xlY3VsZQAAAQFkAv5qAQAAAAIAAgEZARAAAAD8/AD8AAIAAAAAAADwvwAAAAAAACAAAAD8/AD8AAIAAAAAAADwvwLkg57Nqs/0vwLXo3A9CtfnPwAAAAAgAAAA/PwA/AACAAAAAAAA8L8C16NwPQrX5z8C5IOezarP9D8AAAAAHAAAAPz8APwAAgAAAAAAAPC/AuSDns2qz/Q/AtejcD0K1+e/AAAAABgAAAD8/AD8AAIAAAAAAADwvwLXo3A9CtfnvwLkg57Nqs/0vwAAAAAYAAAA/PwA/AACAAAAAAAA8L8C5IOezarPBEAAAAAAABgAAAD8/AD8AAIAAAAAAADwvwKppE5AE+EBwAKi1jTvOEX3vwAAAAAYAAAA/PwA/AACAAAAAAAA8L8CLNSa5h2nwL8CqaROQBNhBcAAAAAAIAAAAPz8APwAAgAAAAAAAPC/AuSDns2qzwRAAoJzRpT2Bvg/AAAAABwAAAD8/AD8AAIAAAAAAADwvwLXxW00gDcPQAIPnDOitDfovwAAAAABEAAAAPz8APwAAgAAAAAAAPC/Amb35GGhVgTAAuhqK/aXXQfAAAAAABgAAAD8/AD8AAIAAAAAAADwvwKze/KwUOsJwAL9GHPXEvLVvwAAAAAYAAAA/PwA/AACAAAAAAAA8L8C6Gor9pfd878C7FG4HoVrDcAAAAAAGAAAAPz8APwAAgAAAAAAAPC/AuSDns2qzxRAAu0NvjCZKoi/AAAAACAAAAD8/AD8AAIAAAAAAADwvwKX/5B++zoGwAIrGJXUCWjxPwAAAAAgAAAA/PwA/AACAAAAAAAA8L8Cpb3BFybTEsACVTAqqRPQ5L8AAAAAHAAAAPz8APwAAgAAAAAAAPC/AuSDns2qzxRAAmb35GGh1vc/AAAAABwAAAD8/AD8AAIAAAAAAADwvwLeJAaBlQMaQAIPnDOitDfovwAAAAAYAAAA/PwA/AACAAAAAAAA8L8CR5T2Bl/YFsACo5I6AU2E3T8AAAAAGAAAAPz8APwAAgAAAAAAAPC/At4kBoGVAxpAAqmkTkAT4QFAAAAAABgAAAD8/AD8AAIAAAAAAADwvwLzsFBrmjcfQALtDb4wmSqIvwAAAAAgAAAA/PwA/AACAAAAAAAA8L8C3iQGgZUDGkACat5xio7kDUAAAAAAHAAAAPz8APwAAgAAAAAAAPC/AvOwUGuaNx9AAmb35GGh1vc/AAAAABgAAAD8/AD8AAIAAAAAAADwvwL2KFyPwjUiQAIPnDOitDfovwAAAAAYAAAA/PwA/AACAAAAAAAA8L8C5IOezarPFEAClBgEVg7tEUAAAAAAARoABAFlCAAAAAAAAAAAAAgBZQgAAAAAAAAAAAAMAWUEAAAAAAAAAAAAEAFlBAAAAAAAAAAADBQBZQQAAAAAAAAAABAYAWUIDAAAAAAAAAAQHAFlBAAAAAAAAAAAFCABZQgAAAAAAAAAABQkAWUEAAAAAAAAAAAYKAFlBAAAAAAAAAAAGCwBZQQAAAAAAAAAABwwAWUICAAAAAAAAAAkNAFlBAAAAAAAAAAALDgBZQgAAAAAAAAAACw8AWUEAAAAAAAAAAA0ARABZQgMAAAAAAAAADQBEQFlBAAAAAAAAAAAPAESAWUEAAAAAAAAAAABEAETAWUEAAAAAAAAAAABEQEUAWUIDAAAAAAAAAABEwEVAWUEAAAAAAAAAAABEwEWAWUICAAAAAAAAAABFAEXAWUEAAAAAAAAAAABFQEYAWUEAAAAAAAAAAAoMAFlBAAAAAAAAAAAARQBFgFlBAAAAAAAAAAAAAAAAA==</t>
        </r>
      </text>
    </comment>
    <comment ref="A347" authorId="0" shapeId="0" xr:uid="{E7183074-5155-43E3-90A0-696727DA9E95}">
      <text>
        <r>
          <rPr>
            <sz val="9"/>
            <color indexed="81"/>
            <rFont val="Segoe UI"/>
            <charset val="1"/>
          </rPr>
          <t>Insight iXlW00001C0000347R0080105531S00000692P01212LAocjBAQBF1NjaVRlZ2ljLmRhdGEuTW9sZWN1bGUBbwF/ARJTY2lUZWdpYy5Nb2xlY3VsZQAAAQFkAv5qAQAAAAIAAgEQAREAAAD8/AD8AAIAAAAAAADwvwAAAAAAABgAAAD8/AD8AAIAAAAAAADwvwKAt0CC4sf0vwJYyjLEsS7oPwAAAAAYAAAA/PwA/AACAAAAAAAA8L8CgLdAguLH9L8CfIMvTKYKAkAAAAAAGAAAAPz8APwAAgAAAAAAAPC/AoC3QILixwTAAu0NvjCZKog/AAAAABgAAAD8/AD8AAIAAAAAAADwvwKAt0CC4scEwALZX3ZPHhYIQAAAAAAYAAAA/PwA/AACAAAAAAAA8L8CQRNhw9MrD8ACkML1KFyP6D8AAAAAGAAAAPz8APwAAgAAAAAAAPC/AkETYcPTKw/AAolBYOXQIgJAAAAAABgAAAD8/AD8AAIAAAAAAADwvwKAt0CC4scUwALnHafoSC4IQAAAAAABEAAAAPz8APwAAgAAAAAAAPC/AkT67evA+RnAAolBYOXQIgJAAAAAABgAAAD8/AD8AAIAAAAAAADwvwIkKH6MuSsfwALnHafoSC4IQAAAAAAgAAAA/PwA/AACAAAAAAAA8L8CJCh+jLkrH8ACZvfkYaEWEkAAAAAAHAAAAPz8APwAAgAAAAAAAPC/AgIrhxbZLiLAApf/kH77OgJAAAAAABgAAAD8/AD8AAIAAAAAAADwvwLyQc9m1cckwAL129eBc0YIQAAAAAAYAAAA/PwA/AACAAAAAAAA8L8CAiuHFtkuIsACx7q4jQbw6D8AAAAAGAAAAPz8APwAAgAAAAAAAPC/AuJYF7fRYCfAAqW9wRcmUwJAAAAAABgAAAD8/AD8AAIAAAAAAADwvwLyQc9m1cckwAJyio7k8h+iPwAAAAABEAAEAWUEAAAAAAAAAAAECAFlCAwAAAAAAAAABAwBZQQAAAAAAAAAAAgQAWUEAAAAAAAAAAAMFAFlCAgAAAAAAAAAEBgBZQgMAAAAAAAAABgcAWUEAAAAAAAAAAAcIAFlBAAAAAAAAAAAICQBZQQAAAAAAAAAACQoAWUIAAAAAAAAAAAkLAFlBAAAAAAAAAAALDABZQQAAAAAAAAAACw0AWUEAAAAAAAAAAAwOAFlBAAAAAAAAAAANDwBZQQAAAAAAAAAABQYAWUEAAAAAAAAAAAAAAAA</t>
        </r>
      </text>
    </comment>
    <comment ref="A348" authorId="0" shapeId="0" xr:uid="{F4DA74C7-74B7-4C2F-86F6-C79B8064AC07}">
      <text>
        <r>
          <rPr>
            <sz val="9"/>
            <color indexed="81"/>
            <rFont val="Segoe UI"/>
            <charset val="1"/>
          </rPr>
          <t>Insight iXlW00001C0000348R0080105531S00000694P02452LAocjBAQBF1NjaVRlZ2ljLmRhdGEuTW9sZWN1bGUBbwF/ARJTY2lUZWdpYy5Nb2xlY3VsZQAAAQFkAv5qAQAAAAIAAgEhAREAAAD8/AD8AAIAAAAAAADwvwAAAAAAABgAAAD8/AD8AAIAAAAAAADwvwJpAG+BBMX0vwKYbhKDwMrnvwAAAAAYAAAA/PwA/AACAAAAAAAA8L8CaQBvgQTF9L8Cx7q4jQbwAcAAAAAAGAAAAPz8APwAAgAAAAAAAPC/AqLWNO84xQTAAu0NvjCZKog/AAAAAAEQAAAA/PwA/AACAAAAAAAA8L8AAnsUrkfh+gfAAAAAABgAAAD8/AD8AAIAAAAAAADwvwKi1jTvOMUEwAJ7FK5H4foHwAAAAAAYAAAA/PwA/AACAAAAAAAA8L8C1lbsL7snD8ACmG4Sg8DK578AAAAAGAwAAPz8APwAAgAAAAAAAPC/AALrBDQRNvwRwAAAAAAYAAAA/PwA/AACAAAAAAAA8L8C1lbsL7snD8ACx7q4jQbwAcAAAAAAJAAAAPz8APwAAgAAAAAAAPC/AqLWNO84xRTAAu0NvjCZKog/AAAAABgAAAD8/AD8AAIAAAAAAADwvwJpAG+BBMX0PwLEsS5uowEVwAAAAAAYAAAA/PwA/AACAAAAAAAA8L8CaQBvgQTF9L8CvlKWIY71FMAAAAAAHAAAAPz8APwAAgAAAAAAAPC/AqLWNO84xRTAAm1Wfa624gfAAAAAACAAAAD8/AD8AAIAAAAAAADwvwKi1jTvOMUEQALrBDQRNvwRwAAAAAAcAAAA/PwA/AACAAAAAAAA8L8CaQBvgQTF9D8CVcGopE4AG8AAAAAAGAAAAPz8APwAAgAAAAAAAPC/AqLWNO84xRTAAuSlm8Qg8BHAAAAAABgAAAD8/AD8AAIAAAAAAADwvwK8lpAPevYZwAK5/If029cBwAAAAAAYAAAA/PwA/AACAAAAAAAA8L8CotY07zjFBEACL26jAbwFHsAAAAAAIAAAAPz8APwAAgAAAAAAAPC/AtZW7C+7Jw/AAr5SliGO9RTAAAAAABwAAAD8/AD8AAIAAAAAAADwvwK8lpAPevYZwAK+UpYhjvUUwAAAAAAgAAAA/PwA/AACAAAAAAAA8L8CvJaQD3r2GcACYHZPHhZq578AAAAAGAAAAPz8APwAAgAAAAAAAPC/AvJBz2bVJx/AAl+YTBWMygfAAAAAABgAAAD8/AD8AAIAAAAAAADwvwKi1jTvOMUEQAJuNIC3QAIiwAAAAAAYAAAA/PwA/AACAAAAAAAA8L8C8kHPZtUnH8AC5KWbxCDwEcAAAAAAGAAAAPz8APwAAgAAAAAAAPC/AryWkA969hnAAk5iEFg59BrAAAAAABgAAAD8/AD8AAIAAAAAAADwvwLWVuwvuycPQALbiv1l94QjwAAAAAAYAAAA/PwA/AACAAAAAAAA8L8CBoGVQ4ssIsACt/P91HjpFMAAAAAAIAAAAPz8APwAAgAAAAAAAPC/AqLWNO84xRRAAvFjzF1LCCLAAAAAACAAAAD8/AD8AAIAAAAAAADwvwLWVuwvuycPQAKjkjoBTYQmwAAAAAAkAAAA/PwA/AACAAAAAAAA8L8CFGHD0yvFJMAC3UYDeAvkEcAAAAAAJAAAAPz8APwAAgAAAAAAAPC/AgaBlUOLLCLAAkcDeAsk6BrAAAAAACQAAAD8/AD8AAIAAAAAAADwvwIUYcPTK8UkwAKKQWDl0OIXwAAAAAAYAAAA/PwA/AACAAAAAAAA8L8CotY07zjFFEACEOm3rwMHKMAAAAAAASIABAFlBAAAAAAAAAAABAgBZQgIAAAAAAAAAAQMAWUEAAAAAAAAAAAIEAFlBAAAAAAAAAAACBQBZQQAAAAAAAAAAAwYAWUIDAAAAAAAAAAQHAFlBAAAAAAAAAAAFCABZQgMAAAAAAAAABgkAWUEAAAAAAAAAAAcKAFlBAAAAAAAAAAAHCwBZQQUAAAAAAAAACAwAWUEAAAAAAAAAAAoNAFlCAAAAAAAAAAAKDgBZQQAAAAAAAAAADA8AWUEAAAAAAAAAAAwARABZQQAAAAAAAAAADgBEQFlBAAAAAAAAAAAPAESAWUIAAAAAAAAAAA8ARMBZQQAAAAAAAAAAAEQARQBZQgAAAAAAAAAAAEQARUBZQQAAAAAAAAAAAERARYBZQQAAAAAAAAAAAETARcBZQQAAAAAAAAAAAETARgBZQQAAAAAAAAAAAEWARkBZQQAAAAAAAAAAAEXARoBZQQAAAAAAAAAAAEZARsBZQgAAAAAAAAAAAEZARwBZQQAAAAAAAAAAAEaAR0BZQQAAAAAAAAAAAEaAR4BZQQAAAAAAAAAAAEaAR8BZQQAAAAAAAAAAAEcASABZQQAAAAAAAAAABggAWUEAAAAAAAAAAABFQEXAWUICAAAAAAAAAAAAAAA</t>
        </r>
      </text>
    </comment>
    <comment ref="A349" authorId="0" shapeId="0" xr:uid="{8DF2060D-34D1-4889-996F-23EC3484E78E}">
      <text>
        <r>
          <rPr>
            <sz val="9"/>
            <color indexed="81"/>
            <rFont val="Segoe UI"/>
            <charset val="1"/>
          </rPr>
          <t>Insight iXlW00001C0000349R0080105531S00000696P01420LAocjBAQBF1NjaVRlZ2ljLmRhdGEuTW9sZWN1bGUBbwF/ARJTY2lUZWdpYy5Nb2xlY3VsZQAAAQFkAv5qAQAAAAIAAgETARAAAAD8/AD8AAIAAAAAAADwvwAAAAAAABgAAAD8/AD8AAIAAAAAAADwvwK7uI0G8Bb1vwJDrWnecYroPwAAAAAYAAAA/PwA/AACAAAAAAAA8L8Cvw6cM6K09D8CRwN4CyQo6D8AAAAAIAAAAPz8APwAAgAAAAAAAPC/AkSLbOf7qfW/AnPXEvJBTwJAAAAAABwAAAD8/AD8AAIAAAAAAADwvwK7uI0G8BYFwALZ8PRKWYaoPwAAAAAYAAAA/PwA/AACAAAAAAAA8L8Cvw6cM6K0BEAAAAAAABgAAAD8/AD8AAIAAAAAAADwvwLgvg6cM6IPwAJR/Bhz1xLqPwAAAAAYAAAA/PwA/AACAAAAAAAA8L8C/yH99nVgBcACPN9PjZdu9r8AAAAAGAAAAPz8APwAAgAAAAAAAPC/Ah8Wak3zDg9AAktZhjjWxec/AAAAABgAAAD8/AD8AAIAAAAAAADwvwI+eVioNc0EQAJJLv8h/fb3vwAAAAAYAAAA/PwA/AACAAAAAAAA8L8CG8BbIEFxD8ACOdbFbTSAAkAAAAAAGAAAAPz8APwAAgAAAAAAAPC/Ap/Nqs/VFhXAAum3rwPnjLg/AAAAABgAAAD8/AD8AAIAAAAAAADwvwJd/kP67esPwALzsFBrmvcAwAAAAAAYAAAA/PwA/AACAAAAAAAA8L8CPgrXo3A99r8CNe84RUdyAcAAAAAAGAAAAPz8APwAAgAAAAAAAPC/Atv5fmq8tBRAAvp+arx0k4i/AAAAABgAAAD8/AD8AAIAAAAAAADwvwKegCbChicPQAL2l92ThwUCwAAAAAAYAAAA/PwA/AACAAAAAAAA8L8CveMUHcnlFMACikFg5dCiCEAAAAAAGAAAAPz8APwAAgAAAAAAAPC/ApF++zpwDhDAAhdIUPwY8wzAAAAAABgAAAD8/AD8AAIAAAAAAADwvwL/Q/rt68AUQAJHA3gLJCj4vwAAAAABEwAEAWUEAAAAAAAAAAAACAFlBAAAAAAAAAAABAwBZQgAAAAAAAAAAAQQAWUEAAAAAAAAAAAIFAFlBAAAAAAAAAAAEBgBZQQAAAAAAAAAABAcAWUEAAAAAAAAAAAUIAFlCAwAAAAAAAAAFCQBZQQAAAAAAAAAABgoAWUEAAAAAAAAAAAYLAFlBAAAAAAAAAAAHDABZQQAAAAAAAAAABw0AWUEAAAAAAAAAAAgOAFlBAAAAAAAAAAAJDwBZQgIAAAAAAAAACgBEAFlBAAAAAAAAAAAMAERAWUEAAAAAAAAAAA4ARIBZQgIAAAAAAAAADwBEgFlBAAAAAAAAAAAAAAAAA==</t>
        </r>
      </text>
    </comment>
    <comment ref="A350" authorId="0" shapeId="0" xr:uid="{0A3F31F4-CEDC-4C1B-8571-EFE1B7BE68B4}">
      <text>
        <r>
          <rPr>
            <sz val="9"/>
            <color indexed="81"/>
            <rFont val="Segoe UI"/>
            <charset val="1"/>
          </rPr>
          <t>Insight iXlW00001C0000350R0080105531S00000698P02444LAocjBAQBF1NjaVRlZ2ljLmRhdGEuTW9sZWN1bGUBbwF/ARJTY2lUZWdpYy5Nb2xlY3VsZQAAAQFkAv5qAQAAAAIAAgEhARAAAAD8/AD8AAIAAAAAAADwvwAAAAAAACAAAAD8/AD8AAIAAAAAAADwvwL+1HjpJjHovwInwoanV8r0vwAAAAAgAAAA/PwA/AACAAAAAAAA8L8CJ8KGp1fK9D8C/tR46SYx6L8AAAAAGAAAAPz8APwAAgAAAAAAAPC/AifChqdXyvS/AsfctYR80Oc/AAAAABgAAAD8/AD8AAIAAAAAAADwvwLH3LWEfNDnPwInwoanV8r0PwAAAAAYAAAA/PwA/AACAAAAAAAA8L8CJ8KGp1fK9L8CoyO5/If0AUAAAAAAGAAAAPz8APwAAgAAAAAAAPC/AifChqdXygTAAAAAAAAgAAAA/PwA/AACAAAAAAAA8L8AAuJYF7fRAAhAAAAAABgAAAD8/AD8AAIAAAAAAADwvwInwoanV8oEwALiWBe30QAIQAAAAAAYAAAA/PwA/AACAAAAAAAA8L8CAk2EDU8vD8ACx9y1hHzQ5z8AAAAAGAAAAPz8APwAAgAAAAAAAPC/AAKqglFJnQASQAAAAAAYAAAA/PwA/AACAAAAAAAA8L8CAk2EDU8vD8ACoyO5/If0AUAAAAAAGAAAAPz8APwAAgAAAAAAAPC/AifChqdXygTAAqqCUUmdABJAAAAAABgAAAD8/AD8AAIAAAAAAADwvwInwoanV8r0PwJDPujZrPoUQAAAAAAYAAAA/PwA/AACAAAAAAAA8L8CC9ejcD3KFMAC4lgXt9EACEAAAAAAIAAAAPz8APwAAgAAAAAAAPC/AifChqdXyvQ/AnsUrkfh+hpAAAAAACAAAAD8/AD8AAIAAAAAAADwvwIL16NwPcoUwAKqglFJnQASQAAAAAAYAAAA/PwA/AACAAAAAAAA8L8ClIeFWtP8GcACoyO5/If0AUAAAAAAGAAAAPz8APwAAgAAAAAAAPC/AifChqdXygRAAhsv3SQGAR5AAAAAABgAAAD8/AD8AAIAAAAAAADwvwJkXdxGA3gfwALKw0Ktad4GQAAAAAAYAAAA/PwA/AACAAAAAAAA8L8CJzEIrByaGsAC/tR46SYx6D8AAAAAIAAAAPz8APwAAgAAAAAAAPC/Ardif9k9WSDAAgkbnl4pSxFAAAAAABwAAAD8/AD8AAIAAAAAAADwvwLnjCjtDb4hwAJ/jLlrCfn7PwAAAAAcAAAA/PwA/AACAAAAAAAA8L8Cl/+Qfvs6IMACXynLEMe63D8AAAAAGAwAAPz8APwAAgAAAAAAAPC/AjC7Jw8LNSPAAqYsQxzrIhNAAAAAABgAAAD8/AD8AAIAAAAAAADwvwKASL99HbgkwAJahjjWxW3+PwAAAAAgAAAA/PwA/AACAAAAAAAA8L8CIbByaJFtJcACPgrXo3A9DkAAAAAAGAAAAPz8APwAAgAAAAAAAPC/AjXvOEVH0iPAAsnlP6Tf/hhAAAAAABgAAAD8/AD8AAIAAAAAAADwvwKTy39Iv30mwALOqs/VVuzlPwAAAAAYAAAA/PwA/AACAAAAAAAA8L8Cmggbnl5JKMACvJaQD3r2EEAAAAAAIAAAAPz8APwAAgAAAAAAAPC/Ai2yne+n5ijAAuBPjZdu0hZAAAAAACAAAAD8/AD8AAIAAAAAAADwvwKL/WX35IEqwAJq3nGKjuQJQAAAAAAYAAAA/PwA/AACAAAAAAAA8L8CBFYOLbJdLcACpAG8BRKUDUAAAAAAASIABAFlCAAAAAAAAAAAAAgBZQgAAAAAAAAAAAAMAWUEAAAAAAAAAAAAEAFlBAAAAAAAAAAADBQBZQgIAAAAAAAAAAwYAWUEAAAAAAAAAAAUHAFlBAAAAAAAAAAAFCABZQQAAAAAAAAAABgkAWUICAAAAAAAAAAcKAFlBAAAAAAAAAAAICwBZQgMAAAAAAAAACAwAWUEAAAAAAAAAAAoNAFlBAAAAAAAAAAALDgBZQQAAAAAAAAAADQ8AWUEAAAAAAAAAAA4ARABZQgAAAAAAAAAADgBEQFlBAAAAAAAAAAAPAESAWUEAAAAAAAAAAABEQETAWUICAAAAAAAAAABEQEUAWUEAAAAAAAAAAABEwEVAWUEAAAAAAAAAAABEwEWAWUEAAAAAAAAAAABFAEXAWUICAAAAAAAAAABFQEYAWUEAAAAAAAAAAABFgEZAWUEAAAAAAAAAAABGAEaAWUEAAAAAAAAAAABGAEbAWUEFAAAAAAAAAABGQEcAWUEAAAAAAAAAAABGgEdAWUEAAAAAAAAAAABHQEeAWUIAAAAAAAAAAABHQEfAWUEAAAAAAAAAAABHwEgAWUEAAAAAAAAAAAkLAFlBAAAAAAAAAAAARYBFwFlBAAAAAAAAAAAAAAAAA==</t>
        </r>
      </text>
    </comment>
    <comment ref="A351" authorId="0" shapeId="0" xr:uid="{250ECCE2-610C-4BF2-A125-E557DD1E4A04}">
      <text>
        <r>
          <rPr>
            <sz val="9"/>
            <color indexed="81"/>
            <rFont val="Segoe UI"/>
            <charset val="1"/>
          </rPr>
          <t>Insight iXlW00001C0000351R0080105531S00000700P01896LAocjBAQBF1NjaVRlZ2ljLmRhdGEuTW9sZWN1bGUBbwF/ARJTY2lUZWdpYy5Nb2xlY3VsZQAAAQFkAv5qAQAAAAIAAgEZARAAAAD8/AD8AAIAAAAAAADwvwAAAAAAACAAAAD8/AD8AAIAAAAAAADwvwJcIEHxY8z0PwKl374OnDPovwAAAAAgAAAA/PwA/AACAAAAAAAA8L8Cbef7qfHS578CXCBB8WPM9L8AAAAAGAAAAPz8APwAAgAAAAAAAPC/AlwgQfFjzPS/AqXfvg6cM+g/AAAAABgAAAD8/AD8AAIAAAAAAADwvwKl374OnDPoPwJcIEHxY8z0PwAAAAAYAAAA/PwA/AACAAAAAAAA8L8CXCBB8WPM9L8CrmnecYoOAkAAAAAAGAAAAPz8APwAAgAAAAAAAPC/AlwgQfFjzATAAu0NvjCZKog/AAAAABgAAAD8/AD8AAIAAAAAAADwvwJcIEHxY8wEwAKXIY51cRsIQAAAAAAYAAAA/PwA/AACAAAAAAAA8L8AAlCNl24SAwhAAAAAABgAAAD8/AD8AAIAAAAAAADwvwKKsOHplTIPwALc14FzRpToPwAAAAAYAAAA/PwA/AACAAAAAAAA8L8CirDh6ZUyD8ACrmnecYoOAkAAAAAAGAAAAPz8APwAAgAAAAAAAPC/AlwgQfFjzATAApF++zpwDhJAAAAAABwAAAD8/AD8AAIAAAAAAADwvwJiMlUwKqnDPwKDwMqhRfYRQAAAAAAYAAAA/PwA/AACAAAAAAAA8L8CdLUV+8vu9T8CuECC4scYA0AAAAAAGAAAAPz8APwAAgAAAAAAAPC/AkA1XrpJzBTAApchjnVxGwhAAAAAACAAAAD8/AD8AAIAAAAAAADwvwIQ6bevA+f5PwLG/rJ78jATQAAAAAAYAAAA/PwA/AACAAAAAAAA8L8CcayL22gAA0ACXW3F/rL7C0AAAAAAIAAAAPz8APwAAgAAAAAAAPC/AkA1XrpJzBTAApF++zpwDhJAAAAAABgAAAD8/AD8AAIAAAAAAADwvwJXfa62Yv8ZwAK7Jw8LtSYCQAAAAAAYAAAA/PwA/AACAAAAAAAA8L8CtOpztRV7H8ACjErqBDQRB0AAAAAAGAAAAPz8APwAAgAAAAAAAPC/AuomMQisnBrAAhTQRNjw9Og/AAAAACAAAAD8/AD8AAIAAAAAAADwvwLtnjws1FogwAL3deCcEWURQAAAAAAcAAAA/PwA/AACAAAAAAAA8L8CVp+rrdi/IcACzjtO0ZFc/D8AAAAAHAAAAPz8APwAAgAAAAAAAPC/Alyxv+yePCDAAsZtNIC3QN4/AAAAABgAAAD8/AD8AAIAAAAAAADwvwK1pnnHKbokwAIa4lgXt9H+PwAAAAABGwAEAWUIAAAAAAAAAAAACAFlCAAAAAAAAAAAAAwBZQQAAAAAAAAAAAAQAWUEAAAAAAAAAAAMFAFlCAwAAAAAAAAADBgBZQQAAAAAAAAAABQcAWUEAAAAAAAAAAAUIAFlBAAAAAAAAAAAGCQBZQgIAAAAAAAAABwoAWUIDAAAAAAAAAAcLAFlBAAAAAAAAAAAIDABZQgMAAAAAAAAACA0AWUEAAAAAAAAAAAoOAFlBAAAAAAAAAAAMDwBZQQAAAAAAAAAADQBEAFlBAAAAAAAAAAAOAERAWUIAAAAAAAAAAA4ARIBZQQAAAAAAAAAAAESARMBZQgIAAAAAAAAAAESARQBZQQAAAAAAAAAAAETARUBZQQAAAAAAAAAAAETARYBZQQAAAAAAAAAAAEUARcBZQgIAAAAAAAAAAEWARgBZQQAAAAAAAAAACQoAWUEAAAAAAAAAAA8ARABZQQAAAAAAAAAAAEWARcBZQQAAAAAAAAAAAAAAAA=</t>
        </r>
      </text>
    </comment>
    <comment ref="A352" authorId="0" shapeId="0" xr:uid="{98301340-0FB4-472F-90AA-DD3F2C75AB9A}">
      <text>
        <r>
          <rPr>
            <sz val="9"/>
            <color indexed="81"/>
            <rFont val="Segoe UI"/>
            <charset val="1"/>
          </rPr>
          <t>Insight iXlW00001C0000352R0080105531S00000702P01756LAocjBAQBF1NjaVRlZ2ljLmRhdGEuTW9sZWN1bGUBbwF/ARJTY2lUZWdpYy5Nb2xlY3VsZQAAAQFkAv5qAQAAAAIAAgEYIAAAAPz8APwAAgAAAAAAAPC/AAAAAAAAGAAAAPz8APwAAgAAAAAAAPC/AoC3QILix/S/AiDSb18Hzuc/AAAAABgAAAD8/AD8AAIAAAAAAADwvwKAt0CC4sf0vwJuxf6ye/IBQAAAAAAYAAAA/PwA/AACAAAAAAAA8L8CgLdAguLHBMAAAAAAABgAAAD8/AD8AAIAAAAAAADwvwKAt0CC4scEwAIEeAskKP4HQAAAAAAYAAAA/PwA/AACAAAAAAAA8L8AAgR4CyQo/gdAAAAAABgMAAD8/AD8AAIAAAAAAADwvwJBE2HD0ysPwAIg0m9fB87nPwAAAAAgAAAA/PwA/AACAAAAAAAA8L8CgLdAguLHBMACdSSX/5D+EUAAAAAAGAAAAPz8APwAAgAAAAAAAPC/AkETYcPTKw/AAm7F/rJ78gFAAAAAABwAAAD8/AD8AAIAAAAAAADwvwACdSSX/5D+EUAAAAAAGAAAAPz8APwAAgAAAAAAAPC/AoC3QILix/Q/Am7F/rJ78gFAAAAAABgAAAD8/AD8AAIAAAAAAADwvwKAt0CC4scUwAAAAAAAIAAAAPz8APwAAgAAAAAAAPC/AoC3QILix/Q/ArkehetR+BRAAAAAABgAAAD8/AD8AAIAAAAAAADwvwKAt0CC4scEQAIEeAskKP4HQAAAAAAYAAAA/PwA/AACAAAAAAAA8L8CfdCzWfX5GcACINJvXwfO5z8AAAAAGAAAAPz8APwAAgAAAAAAAPC/AoC3QILixxTAAsuhRbbz/fe/AAAAABgAAAD8/AD8AAIAAAAAAADwvwKAt0CC4sf0PwIrhxbZzvcaQAAAAAAYAAAA/PwA/AACAAAAAAAA8L8CXf5D+u0rH8AAAAAAABgAAAD8/AD8AAIAAAAAAADwvwJ90LNZ9fkZwAJuxf6ye/IBQAAAAAAYAAAA/PwA/AACAAAAAAAA8L8CfdCzWfX5GcACfIMvTKYKAsAAAAAAGAAAAPz8APwAAgAAAAAAAPC/AkETYcPTKw/AAnyDL0ymCgLAAAAAABgAAAD8/AD8AAIAAAAAAADwvwKAt0CC4scEQAJ24JwRpf0dQAAAAAAYAAAA/PwA/AACAAAAAAAA8L8CXf5D+u0rH8ACy6FFtvP9978AAAAAGAAAAPz8APwAAgAAAAAAAPC/Ah8Wak3zLiLAAnyDL0ymCgLAAAAAAAEZAAQBZQgAAAAAAAAAAAQIAWUEAAAAAAAAAAAEDAFlBAAAAAAAAAAACBABZQgMAAAAAAAAAAgUAWUEAAAAAAAAAAAMGAFlBAAAAAAAAAAAEBwBZQQAAAAAAAAAABAgAWUEAAAAAAAAAAAUJAFlCAwAAAAAAAAAFCgBZQQAAAAAAAAAABgsAWUEFAAAAAAAAAAkMAFlBAAAAAAAAAAAKDQBZQQAAAAAAAAAACw4AWUIDAAAAAAAAAAsPAFlBAAAAAAAAAAAMAEQAWUEAAAAAAAAAAA4AREBZQQAAAAAAAAAADgBEgFlBAAAAAAAAAAAPAETAWUICAAAAAAAAAA8ARQBZQQAAAAAAAAAAAEQARUBZQQAAAAAAAAAAAERARYBZQgMAAAAAAAAAAEWARcBZQQAAAAAAAAAABggAWUEAAAAAAAAAAABEwEWAWUEAAAAAAAAAAAAAAAA</t>
        </r>
      </text>
    </comment>
    <comment ref="A353" authorId="0" shapeId="0" xr:uid="{277F1F24-FE6C-4A4A-902D-9A631274BEE7}">
      <text>
        <r>
          <rPr>
            <sz val="9"/>
            <color indexed="81"/>
            <rFont val="Segoe UI"/>
            <charset val="1"/>
          </rPr>
          <t>Insight iXlW00001C0000353R0080105531S00000704P02016LAocjBAQBF1NjaVRlZ2ljLmRhdGEuTW9sZWN1bGUBbwF/ARJTY2lUZWdpYy5Nb2xlY3VsZQAAAQFkAv5qAQAAAAIAAgEbARAAAAD8/AD8AAIAAAAAAADwvwAAAAAAACAAAAD8/AD8AAIAAAAAAADwvwLrc7UV+8v0vwLChqdXyjLovwAAAAAgAAAA/PwA/AACAAAAAAAA8L8CwoanV8oy6D8C63O1FfvL9L8AAAAAHAAAAPz8APwAAgAAAAAAAPC/AutztRX7y/Q/AouO5PIf0uc/AAAAABgAAAD8/AD8AAIAAAAAAADwvwKLjuTyH9LnvwLrc7UV+8v0PwAAAAAYAAAA/PwA/AACAAAAAAAA8L8Csp3vp8bLBEAAAAAAABgAAAD8/AD8AAIAAAAAAADwvwLrc7UV+8v0PwL2KFyPwvUBQAAAAAAkAAAA/PwA/AACAAAAAAAA8L8C9ihcj8L1AcAC63O1FfvL9D8AAAAAJAAAAPz8APwAAgAAAAAAAPC/AAKyne+nxssEQAAAAAAYAAAA/PwA/AACAAAAAAAA8L8Csp3vp8bLBEACpwpGJXUC+L8AAAAAGAAAAPz8APwAAgAAAAAAAPC/AqhXyjLEMQ9AAsKGp1fKMug/AAAAACQAAAD8/AD8AAIAAAAAAADwvwLrc7UV+8v0PwI8vVKWIQ4CwAAAAAAYAAAA/PwA/AACAAAAAAAA8L8CqFfKMsQxD0AC9ihcj8L1AcAAAAAAGAAAAPz8APwAAgAAAAAAAPC/AqhXyjLEMQ9AAjy9UpYhDgJAAAAAABgAAAD8/AD8AAIAAAAAAADwvwKyne+nxssUQALtDb4wmSqIPwAAAAAYAAAA/PwA/AACAAAAAAAA8L8Csp3vp8bLFEACpwpGJXUC+L8AAAAAIAAAAPz8APwAAgAAAAAAAPC/ArKd76fGywRAAt/gC5OpAghAAAAAABgAAAD8/AD8AAIAAAAAAADwvwKyne+nxssUQALf4AuTqQIIQAAAAAAcAAAA/PwA/AACAAAAAAAA8L8CrfpcbcX+GUACPL1SliEOAkAAAAAAHAAAAPz8APwAAgAAAAAAAPC/ArKd76fGyxRAAhlz1xLyARJAAAAAABgAAAD8/AD8AAIAAAAAAADwvwKMbOf7qTEfQALf4AuTqQIIQAAAAAAYAAAA/PwA/AACAAAAAAAA8L8CrfpcbcX+GUAC6wQ0ETb8FEAAAAAAIAAAAPz8APwAAgAAAAAAAPC/AsNkqmBUMiJAAjy9UpYhDgJAAAAAABwAAAD8/AD8AAIAAAAAAADwvwKMbOf7qTEfQAIZc9cS8gESQAAAAAAgAAAA/PwA/AACAAAAAAAA8L8CrfpcbcX+GUAClIeFWtP8GkAAAAAAGAAAAPz8APwAAgAAAAAAAPC/AsNkqmBUMiJAAsKGp1fKMug/AAAAABgAAAD8/AD8AAIAAAAAAADwvwKyne+nxssUQAJmGeJYF/cdQAAAAAABHAAEAWUIAAAAAAAAAAAACAFlCAAAAAAAAAAAAAwBZQQAAAAAAAAAAAAQAWUEAAAAAAAAAAAMFAFlBAAAAAAAAAAADBgBZQQAAAAAAAAAABAcAWUEAAAAAAAAAAAQIAFlBAAAAAAAAAAAFCQBZQgIAAAAAAAAABQoAWUEAAAAAAAAAAAkLAFlBAAAAAAAAAAAJDABZQQAAAAAAAAAACg0AWUEAAAAAAAAAAAoOAFlCAgAAAAAAAAAMDwBZQgIAAAAAAAAADQBEAFlCAAAAAAAAAAANAERAWUEAAAAAAAAAAABEQESAWUIDAAAAAAAAAABEQETAWUEAAAAAAAAAAABEgEUAWUEAAAAAAAAAAABEwEVAWUIDAAAAAAAAAABFAEWAWUEAAAAAAAAAAABFAEXAWUICAAAAAAAAAABFQEYAWUEAAAAAAAAAAABFgEZAWUEAAAAAAAAAAABGAEaAWUEAAAAAAAAAAA4PAFlBAAAAAAAAAAAARUBFwFlBAAAAAAAAAAAAAAAAA==</t>
        </r>
      </text>
    </comment>
    <comment ref="A354" authorId="0" shapeId="0" xr:uid="{7A9AB89A-701D-46AC-82E8-21DD32CEFD42}">
      <text>
        <r>
          <rPr>
            <sz val="9"/>
            <color indexed="81"/>
            <rFont val="Segoe UI"/>
            <charset val="1"/>
          </rPr>
          <t>Insight iXlW00001C0000354R0080105531S00000706P01156LAocjBAQBF1NjaVRlZ2ljLmRhdGEuTW9sZWN1bGUBbwF/ARJTY2lUZWdpYy5Nb2xlY3VsZQAAAQFkAv5qAQAAAAIAAgEQAREAAAD8/AD8AAIAAAAAAADwvwAAAAAAABgAAAD8/AD8AAIAAAAAAADwvwJpAG+BBMX0vwLQZtXnaivoPwAAAAABEQAAAPz8APwAAgAAAAAAAPC/AmkAb4EExfS/AtV46SYxCAJAAAAAABgAAAD8/AD8AAIAAAAAAADwvwJpAG+BBMUEwAAAAAAAAREAAAD8/AD8AAIAAAAAAADwvwJpAG+BBMUEwAJDPujZrPr3vwAAAAAYAAAA/PwA/AACAAAAAAAA8L8CnoAmwoYnD8AC0GbV52or6D8AAAAAARAAAAD8/AD8AAIAAAAAAADwvwJpAG+BBMUUwAAAAAAAGAAAAPz8APwAAgAAAAAAAPC/AoPAyqFF9hnAAtBm1edqK+g/AAAAACAAAAD8/AD8AAIAAAAAAADwvwKDwMqhRfYZwALVeOkmMQgCQAAAAAAcAAAA/PwA/AACAAAAAAAA8L8CnoAmwoYnH8AAAAAAABgAAAD8/AD8AAIAAAAAAADwvwJcIEHxYywiwALQZtXnaivoPwAAAAAYAAAA/PwA/AACAAAAAAAA8L8CnoAmwoYnH8ACQz7o2az6978AAAAAGAAAAPz8APwAAgAAAAAAAPC/AmkAb4EExSTAAAAAAAAYAAAA/PwA/AACAAAAAAAA8L8CXCBB8WMsIsAC1XjpJjEIAkAAAAAAGAAAAPz8APwAAgAAAAAAAPC/AoPAyqFF9hnAAse6uI0G8AHAAAAAABgAAAD8/AD8AAIAAAAAAADwvwJcIEHxYywiwALHuriNBvABwAAAAAA8AAQBZQQAAAAAAAAAAAQIAWUEAAAAAAAAAAAEDAFlCAgAAAAAAAAADBABZQQAAAAAAAAAAAwUAWUEAAAAAAAAAAAUGAFlBAAAAAAAAAAAGBwBZQQAAAAAAAAAABwgAWUIAAAAAAAAAAAcJAFlBAAAAAAAAAAAJCgBZQQAAAAAAAAAACQsAWUEAAAAAAAAAAAoMAFlBAAAAAAAAAAAKDQBZQQAAAAAAAAAACw4AWUEAAAAAAAAAAAsPAFlBAAAAAAAAAAAAAAAAA==</t>
        </r>
      </text>
    </comment>
    <comment ref="A355" authorId="0" shapeId="0" xr:uid="{364B4221-5F7A-45E9-AD24-F18B0148CDF1}">
      <text>
        <r>
          <rPr>
            <sz val="9"/>
            <color indexed="81"/>
            <rFont val="Segoe UI"/>
            <charset val="1"/>
          </rPr>
          <t>Insight iXlW00001C0000355R0080105531S00000708P01944LAocjBAQBF1NjaVRlZ2ljLmRhdGEuTW9sZWN1bGUBbwF/ARJTY2lUZWdpYy5Nb2xlY3VsZQAAAQFkAv5qAQAAAAIAAgEaAREAAAD8/AD8AAIAAAAAAADwvwAAAAAAABgAAAD8/AD8AAIAAAAAAADwvwI2XrpJDAL4PwAAAAAAGAAAAPz8APwAAgAAAAAAAPC/Ar1SliGO9QFAAnrHKTqSy/S/AAAAACAAAAD8/AD8AAIAAAAAAADwvwIRWDm0yPYNQAJ6xyk6ksv0vwAAAAAYAAAA/PwA/AACAAAAAAAA8L8CxLEubqMBEkACescpOpLLBMAAAAAAGAAAAPz8APwAAgAAAAAAAPC/Am40gLdAAhhAAnrHKTqSywTAAAAAABgAAAD8/AD8AAIAAAAAAADwvwIfFmpN8w4OQAI3qz5XWzEPwAAAAAABEAAAAPz8APwAAgAAAAAAAPC/AkYldQKaCBtAAnrHKTqSy/S/AAAAABgAAAD8/AD8AAIAAAAAAADwvwI/xty1hPwaQAI3qz5XWzEPwAAAAAAYAAAA/PwA/AACAAAAAAAA8L8CxLEubqMBEkACescpOpLLFMAAAAAAIAAAAPz8APwAAgAAAAAAAPC/AvvL7snDAh5AAAAAAAAgAAAA/PwA/AACAAAAAAAA8L8CaLPqc7XVFUACaQBvgQTF4b8AAAAAHAAAAPz8APwAAgAAAAAAAPC/ApLLf0i/HSBAAm7F/rJ7cgDAAAAAABgAAAD8/AD8AAIAAAAAAADwvwJuNIC3QAIYQAJ6xyk6kssUwAAAAAAYAAAA/PwA/AACAAAAAAAA8L8CggTFjzG3IkAClkOLbOf79L8AAAAAIAAAAPz8APwAAgAAAAAAAPC/AoIExY8xtyJAAv7UeOkmMcg/AAAAABwAAAD8/AD8AAIAAAAAAADwvwLjx5i7llAlQAJuxf6ye3IAwAAAAAAYAAAA/PwA/AACAAAAAAAA8L8C0gDeAgnqJ0AClkOLbOf79L8AAAAAHAAAAPz8APwAAgAAAAAAAPC/AsE5I0p7gypAAnyDL0ymigDAAAAAABwAAAD8/AD8AAIAAAAAAADwvwLSAN4CCeonQAL+1HjpJjHIPwAAAAAYAAAA/PwA/AACAAAAAAAA8L8CsXJoke0cLUACsr/snjws9b8AAAAAGAAAAPz8APwAAgAAAAAAAPC/AsE5I0p7gypAAsrDQq1p3u0/AAAAACAAAAD8/AD8AAIAAAAAAADwvwKgq63YX7YvQAKJQWDl0KIAwAAAAAAcAAAA/PwA/AACAAAAAAAA8L8CsXJoke0cLUACH/RsVn2uxj8AAAAAGAAAAPz8APwAAgAAAAAAAPC/AsE5I0p7gypAAka28/3UeANAAAAAABgAAAD8/AD8AAIAAAAAAADwvwKgq63YX7YvQALdRgN4C6QMwAAAAAABGwAEAWUEAAAAAAAAAAAECAFlBAAAAAAAAAAACAwBZQQAAAAAAAAAAAwQAWUEAAAAAAAAAAAQFAFlCAgAAAAAAAAAEBgBZQQAAAAAAAAAABQcAWUEAAAAAAAAAAAUIAFlBAAAAAAAAAAAGCQBZQgIAAAAAAAAABwoAWUIAAAAAAAAAAAcLAFlCAAAAAAAAAAAHDABZQQAAAAAAAAAACA0AWUICAAAAAAAAAAwOAFlBAAAAAAAAAAAODwBZQgAAAAAAAAAADgBEAFlBAAAAAAAAAAAARABEQFlBAAAAAAAAAAAAREBEgFlCAwAAAAAAAAAAREBEwFlBAAAAAAAAAAAARIBFAFlBAAAAAAAAAAAARMBFQFlCAwAAAAAAAAAARQBFgFlBAAAAAAAAAAAARQBFwFlCAgAAAAAAAAAARUBGAFlBAAAAAAAAAAAARYBGQFlBAAAAAAAAAAAJDQBZQQAAAAAAAAAAAEVARcBZQQAAAAAAAAAAAAAAAA=</t>
        </r>
      </text>
    </comment>
    <comment ref="A356" authorId="0" shapeId="0" xr:uid="{957F083D-3F11-4131-A395-8E205B2523FB}">
      <text>
        <r>
          <rPr>
            <sz val="9"/>
            <color indexed="81"/>
            <rFont val="Segoe UI"/>
            <charset val="1"/>
          </rPr>
          <t>Insight iXlW00001C0000356R0080105531S00000710P01816LAocjBAQBF1NjaVRlZ2ljLmRhdGEuTW9sZWN1bGUBbwF/ARJTY2lUZWdpYy5Nb2xlY3VsZQAAAQFkAv5qAQAAAAIAAgEYJAAAAPz8APwAAgAAAAAAAPC/AAAAAAAAGAAAAPz8APwAAgAAAAAAAPC/AvaX3ZOHhfM/AoofY+5aQui/AAAAABgAAAD8/AD8AAIAAAAAAADwvwL2l92Th4XzPwKamZmZmRkCwAAAAAAYAAAA/PwA/AACAAAAAAAA8L8CoKut2F92/z8Cj+TyH9Jv4T8AAAAAGAAAAPz8APwAAgAAAAAAAPC/AgJNhA1PLwRAAu0NvjCZKoi/AAAAABwAAAD8/AD8AAIAAAAAAADwvwJiodY07zi1vwJvowG8BRIIwAAAAAAcAAAA/PwA/AACAAAAAAAA8L8CAk2EDU8vBEACb6MBvAUSCMAAAAAAGAAAAPz8APwAAgAAAAAAAPC/AmKh1jTvOLW/ApM6AU2EDRLAAAAAABgAAAD8/AD8AAIAAAAAAADwvwICTYQNTy8EQAKTOgFNhA0SwAAAAAAcAAAA/PwA/AACAAAAAAAA8L8C9pfdk4eF8z8CYVRSJ6AJFcAAAAAAHAAAAPz8APwAAgAAAAAAAPC/AiNseHqlLPa/AmFUUiegCRXAAAAAABwAAAD8/AD8AAIAAAAAAADwvwIIzhlR2psOQAJhVFInoAkVwAAAAAAYDAAA/PwA/AACAAAAAAAA8L8CGLfRAN6CBcACkzoBTYQNEsAAAAAAGAAAAPz8APwAAgAAAAAAAPC/AlYOLbKd7w/AAmFUUiegCRXAAAAAABgAAAD8/AD8AAIAAAAAAADwvwIYt9EA3oIFwAJvowG8BRIIwAAAAAAgAAAA/PwA/AACAAAAAAAA8L8CrkfhehQuFcACkzoBTYQNEsAAAAAAGAAAAPz8APwAAgAAAAAAAPC/AjIIrBxaZBrAAmFUUiegCRXAAAAAABgAAAD8/AD8AAIAAAAAAADwvwIyCKwcWmQawAI9vVKWIQ4bwAAAAAAYAAAA/PwA/AACAAAAAAAA8L8Ctch2vp+aH8ACcPCFyVQBEsAAAAAAGAAAAPz8APwAAgAAAAAAAPC/ArXIdr6fmh/AAifChqdXCh7AAAAAABgAAAD8/AD8AAIAAAAAAADwvwKcxCCwcmgiwAJhVFInoAkVwAAAAAAYAAAA/PwA/AACAAAAAAAA8L8CnMQgsHJoIsACNl66SQwCG8AAAAAAGAAAAPz8APwAAgAAAAAAAPC/ArXIdr6fmh/AAoGVQ4tsByLAAAAAABgAAAD8/AD8AAIAAAAAAADwvwLdJAaBlQMlwAKTOgFNhA0SwAAAAAABGQAEAWUEAAAAAAAAAAAECAFlBAAAAAAAAAAABAwBZQQAAAAAAAAAAAQQAWUEAAAAAAAAAAAIFAFlCAwAAAAAAAAACBgBZQQAAAAAAAAAABQcAWUEAAAAAAAAAAAYIAFlCAwAAAAAAAAAHCQBZQgIAAAAAAAAABwoAWUEAAAAAAAAAAAgLAFlBAAAAAAAAAAAKDABZQQAAAAAAAAAADA0AWUEAAAAAAAAAAAwOAFlBBQAAAAAAAAANDwBZQQAAAAAAAAAADwBEAFlBAAAAAAAAAAAARABEQFlCAwAAAAAAAAAARABEgFlBAAAAAAAAAAAAREBEwFlBAAAAAAAAAAAARIBFAFlCAwAAAAAAAAAARMBFQFlCAgAAAAAAAAAARMBFgFlBAAAAAAAAAAAARQBFwFlBAAAAAAAAAAAICQBZQQAAAAAAAAAAAEUARUBZQQAAAAAAAAAAAAAAAA=</t>
        </r>
      </text>
    </comment>
    <comment ref="A357" authorId="0" shapeId="0" xr:uid="{9137449A-AEE9-4683-B8BC-D2E5DDD04A34}">
      <text>
        <r>
          <rPr>
            <sz val="9"/>
            <color indexed="81"/>
            <rFont val="Segoe UI"/>
            <charset val="1"/>
          </rPr>
          <t>Insight iXlW00001C0000357R0080105531S00000712P02012LAocjBAQBF1NjaVRlZ2ljLmRhdGEuTW9sZWN1bGUBbwF/ARJTY2lUZWdpYy5Nb2xlY3VsZQAAAQFkAv5qAQAAAAIAAgEbARAAAAD8/AD8AAIAAAAAAADwvwAAAAAAACAAAAD8/AD8AAIAAAAAAADwvwLyY8xdS8j0vwIg0m9fB87nPwAAAAAgAAAA/PwA/AACAAAAAAAA8L8CWMoyxLEu6D8C8mPMXUvI9D8AAAAAHAAAAPz8APwAAgAAAAAAAPC/AvJjzF1LyPQ/AljKMsSxLui/AAAAABgAAAD8/AD8AAIAAAAAAADwvwIg0m9fB87nvwLyY8xdS8j0vwAAAAAYAAAA/PwA/AACAAAAAAAA8L8CKjqSy3/IBEAC7Q2+MJkqiL8AAAAAGAAAAPz8APwAAgAAAAAAAPC/At9xio7k8gHAAvJjzF1LyPS/AAAAABgAAAD8/AD8AAIAAAAAAADwvwLtDb4wmSqIPwIqOpLLf8gEwAAAAAAgAAAA/PwA/AACAAAAAAAA8L8CKjqSy3/IBEACkX77OnDO9z8AAAAAHAAAAPz8APwAAgAAAAAAAPC/AiNseHqlLA9AAnIbDeAtkOi/AAAAABgAAAD8/AD8AAIAAAAAAADwvwJnZmZmZuYHwAAAAAAAGAAAAPz8APwAAgAAAAAAAPC/AmdmZmZm5gfAAio6kst/yATAAAAAABgAAAD8/AD8AAIAAAAAAADwvwLp2az6XG3nvwIjbHh6pSwPwAAAAAAYAAAA/PwA/AACAAAAAAAA8L8CDk+vlGXIFEAC7Q2+MJkqmL8AAAAAGAAAAPz8APwAAgAAAAAAAPC/AiNseHqlLA9AAvvt68A5IwLAAAAAACAAAAD8/AD8AAIAAAAAAADwvwLRs1n1udoBwALyY8xdS8j0PwAAAAAgAAAA/PwA/AACAAAAAAAA8L8C33GKjuTyEcAAAAAAABgAAAD8/AD8AAIAAAAAAADwvwLfcYqO5PIBwAIjbHh6pSwPwAAAAAAcAAAA/PwA/AACAAAAAAAA8L8CDk+vlGXIFEACdQKaCBue9z8AAAAAHAAAAPz8APwAAgAAAAAAAPC/AiZTBaOS+hlAAqoT0ETY8Oi/AAAAABgAAAD8/AD8AAIAAAAAAADwvwIjbHh6pewUwALyY8xdS8j0PwAAAAAYAAAA/PwA/AACAAAAAAAA8L8CJlMFo5L6GUACw/UoXI/CAUAAAAAAGAAAAPz8APwAAgAAAAAAAPC/AiNseHqlLB9AAnKKjuTyH6K/AAAAACAAAAD8/AD8AAIAAAAAAADwvwImUwWjkvoZQAIZc9cS8sENQAAAAAAcAAAA/PwA/AACAAAAAAAA8L8CI2x4eqUsH0ACdQKaCBue9z8AAAAAGAAAAPz8APwAAgAAAAAAAPC/ApDC9ShcLyJAAuELk6mCUem/AAAAABgAAAD8/AD8AAIAAAAAAADwvwIOT6+UZcgUQALRs1n1udoRQAAAAAABHAAEAWUIAAAAAAAAAAAACAFlCAAAAAAAAAAAAAwBZQQAAAAAAAAAAAAQAWUEAAAAAAAAAAAMFAFlBAAAAAAAAAAAEBgBZQgIAAAAAAAAABAcAWUEAAAAAAAAAAAUIAFlCAAAAAAAAAAAFCQBZQQAAAAAAAAAABgoAWUEAAAAAAAAAAAYLAFlBAAAAAAAAAAAHDABZQgIAAAAAAAAACQ0AWUEAAAAAAAAAAAkOAFlBAAAAAAAAAAAKDwBZQgAAAAAAAAAACgBEAFlBAAAAAAAAAAALAERAWUICAAAAAAAAAA0ARIBZQgMAAAAAAAAADQBEwFlBAAAAAAAAAAAARABFAFlBAAAAAAAAAAAARIBFQFlBAAAAAAAAAAAARMBFgFlCAwAAAAAAAAAARUBFwFlBAAAAAAAAAAAARUBGAFlCAgAAAAAAAAAARYBGQFlBAAAAAAAAAAAARcBGgFlBAAAAAAAAAAAMAERAWUEAAAAAAAAAAABFgEYAWUEAAAAAAAAAAAAAAAA</t>
        </r>
      </text>
    </comment>
    <comment ref="A358" authorId="0" shapeId="0" xr:uid="{2876EF6E-48CA-4C97-BD8F-C4EC80EC3B39}">
      <text>
        <r>
          <rPr>
            <sz val="9"/>
            <color indexed="81"/>
            <rFont val="Segoe UI"/>
            <charset val="1"/>
          </rPr>
          <t>Insight iXlW00001C0000358R0080105531S00000714P01028LAocjBAQBF1NjaVRlZ2ljLmRhdGEuTW9sZWN1bGUBbwF/ARJTY2lUZWdpYy5Nb2xlY3VsZQAAAQFkAv5qAQAAAAIAAjgBEQAAAPz8APwAAgAAAAAAAPC/AAAAAAAAGAAAAPz8APwAAgAAAAAAAPC/Atqs+lxtxfQ/AtBm1edqK+g/AAAAABwAAAD8/AD8AAIAAAAAAADwvwLarPpcbcUEQAAAAAAAGAAAAPz8APwAAgAAAAAAAPC/Atqs+lxtxfQ/Ag5Pr5RlCAJAAAAAABgAAAD8/AD8AAIAAAAAAADwvwJHA3gLJCgPQALQZtXnaivoPwAAAAABEQAAAPz8APwAAgAAAAAAAPC/AAK06nO1FfsHQAAAAAAYAAAA/PwA/AACAAAAAAAA8L8C2qz6XG3FBEACtOpztRX7B0AAAAAAIAAAAPz8APwAAgAAAAAAAPC/Atqs+lxtxRRAAAAAAAAYAAAA/PwA/AACAAAAAAAA8L8CRwN4CyQoD0ACDk+vlGUIAkAAAAAAGAAAAPz8APwAAgAAAAAAAPC/AhFYObTI9hlAAtBm1edqK+g/AAAAAAERAAAA/PwA/AACAAAAAAAA8L8C2qz6XG3FFEACwqikTkATCEAAAAAAGAAAAPz8APwAAgAAAAAAAPC/AisYldQJKB9AAAAAAAAgAAAA/PwA/AACAAAAAAAA8L8CseHplbIsIkAC0GbV52or6D8AAAAAIAAAAPz8APwAAgAAAAAAAPC/AisYldQJKB9AArTqc7UV+/e/AAAAADgABAFlBAAAAAAAAAAABAgBZQgMAAAAAAAAAAQMAWUEAAAAAAAAAAAIEAFlBAAAAAAAAAAADBQBZQQAAAAAAAAAAAwYAWUICAAAAAAAAAAQHAFlBAAAAAAAAAAAECABZQgMAAAAAAAAABwkAWUEAAAAAAAAAAAgKAFlBAAAAAAAAAAAJCwBZQQAAAAAAAAAACwwAWUIAAAAAAAAAAAsNAFlBAAAAAAAAAAAGCABZQQAAAAAAAAAAAAAAAA=</t>
        </r>
      </text>
    </comment>
    <comment ref="A359" authorId="0" shapeId="0" xr:uid="{18C8E47D-9482-4836-B4E9-3A2A4F3609C8}">
      <text>
        <r>
          <rPr>
            <sz val="9"/>
            <color indexed="81"/>
            <rFont val="Segoe UI"/>
            <charset val="1"/>
          </rPr>
          <t>Insight iXlW00001C0000359R0080105531S00000716P01212LAocjBAQBF1NjaVRlZ2ljLmRhdGEuTW9sZWN1bGUBbwF/ARJTY2lUZWdpYy5Nb2xlY3VsZQAAAQFkAv5qAQAAAAIAAgEQAREAAAD8/AD8AAIAAAAAAADwvwAAAAAAABgAAAD8/AD8AAIAAAAAAADwvwK+wRcmUwX4vwAAAAAAGAAAAPz8APwAAgAAAAAAAPC/AnIbDeAtEALAApF++zpwzvS/AAAAABgAAAD8/AD8AAIAAAAAAADwvwJyGw3gLRACwAKRfvs6cM70PwAAAAAYAAAA/PwA/AACAAAAAAAA8L8CidLe4AsTDsACkX77OnDO9L8AAAAAGAAAAPz8APwAAgAAAAAAAPC/AonS3uALEw7AApF++zpwzvQ/AAAAAAERAAAA/PwA/AACAAAAAAAA8L8Ca7x0kxgEEsACkX77OnDOBMAAAAAAGAAAAPz8APwAAgAAAAAAAPC/Amu8dJMYBBLAAAAAAAAYCAAA/PwA/AACAAAAAAAA8L8Ca7x0kxgEEsACkX77OnDOBEAAAAAAIAAAAPz8APwAAgAAAAAAAPC/ApF++zpwDhPAAqrx0k1iUBBAAAAAABgAAAD8/AD8AAIAAAAAAADwvwLr4jYawNsKwALImLuWkI8MQAAAAAAYAAAA/PwA/AACAAAAAAAA8L8ChslUwaikF8ACBTQRNjy9AEAAAAAAGAAAAPz8APwAAgAAAAAAAPC/AnsUrkfhOhzAAnUkl/+QfghAAAAAAAERAAAA/PwA/AACAAAAAAAA8L8CyxDHurjtIMACIbByaJFtBEAAAAAAAREAAAD8/AD8AAIAAAAAAADwvwJVUiegiTAbwAKcxCCwcigSQAAAAAABEQAAAPz8APwAAgAAAAAAAPC/ArivA+eMaCDAAnKKjuTyHxBAAAAAAAERAAQBZQQAAAAAAAAAAAQIAWUIDAAAAAAAAAAEDAFlBAAAAAAAAAAACBABZQQAAAAAAAAAAAwUAWUIDAAAAAAAAAAQGAFlBAAAAAAAAAAAEBwBZQgIAAAAAAAAABQgAWUEAAAAAAAAAAAgJAFlBAAAAAAAAAAAICgBZQQAAAAAAAAAACAsAWUEFAAAAAAAAAAsMAFlBAAAAAAAAAAAMDQBZQQAAAAAAAAAADA4AWUEAAAAAAAAAAAwPAFlBAAAAAAAAAAAFBwBZQQAAAAAAAAAACQoAWUEAAAAAAAAAAAAAAAA</t>
        </r>
      </text>
    </comment>
    <comment ref="A360" authorId="0" shapeId="0" xr:uid="{87BCD396-E980-4EEF-9939-A68B26ACA2F0}">
      <text>
        <r>
          <rPr>
            <sz val="9"/>
            <color indexed="81"/>
            <rFont val="Segoe UI"/>
            <charset val="1"/>
          </rPr>
          <t>Insight iXlW00001C0000360R0080105531S00000718P01140LAocjBAQBF1NjaVRlZ2ljLmRhdGEuTW9sZWN1bGUBbwF/ARJTY2lUZWdpYy5Nb2xlY3VsZQAAAQFkAv5qAQAAAAIAAjwBEQAAAPz8APwAAgAAAAAAAPC/AAAAAAAAGAAAAPz8APwAAgAAAAAAAPC/Au0NvjCZKpi/Atqs+lxtxfe/AAAAABwAAAD8/AD8AAIAAAAAAADwvwKrz9VW7C/0PwKHFtnO99MBwAAAAAAcAAAA/PwA/AACAAAAAAAA8L8CGQRWDi2y9b8ChxbZzvfTAcAAAAAAGAAAAPz8APwAAgAAAAAAAPC/AnPXEvJBz/M/AvVsVn2utg3AAAAAABgAAAD8/AD8AAIAAAAAAADwvwJR/Bhz1xL2vwL1bFZ9rrYNwAAAAAAcAAAA/PwA/AACAAAAAAAA8L8C3UYDeAskuL8ClkOLbOe7EcAAAAAAHAAAAPz8APwAAgAAAAAAAPC/AnP5D+m3LwRAApZDi2znuxHAAAAAABwAAAD8/AD8AAIAAAAAAADwvwIZBFYOLbIFwAKWQ4ts57sRwAAAAAAYAAAA/PwA/AACAAAAAAAA8L8CjnVxGw1gBEAC001iEFi5F8AAAAAAGAAAAPz8APwAAgAAAAAAAPC/AmRd3EYDeA5AAueMKO0NPg3AAAAAABgAAAD8/AD8AAIAAAAAAADwvwIFxY8xdy0QwALnjCjtDT4NwAAAAAAYAAAA/PwA/AACAAAAAAAA8L8CVcGopE7ADkAC54wo7Q2+GsAAAAAAGAAAAPz8APwAAgAAAAAAAPC/ApXUCWgibBRAAoiFWtO8oxHAAAAAABgAAAD8/AD8AAIAAAAAAADwvwL9h/Tb14EVwAJzaJHtfH8RwAAAAAA8AAQBZQQAAAAAAAAAAAQIAWUIDAAAAAAAAAAEDAFlBAAAAAAAAAAACBABZQQAAAAAAAAAAAwUAWUIDAAAAAAAAAAQGAFlCAgAAAAAAAAAEBwBZQQAAAAAAAAAABQgAWUEAAAAAAAAAAAcJAFlBAAAAAAAAAAAHCgBZQQAAAAAAAAAACAsAWUEAAAAAAAAAAAkMAFlBAAAAAAAAAAAKDQBZQQAAAAAAAAAACw4AWUEAAAAAAAAAAAUGAFlBAAAAAAAAAAAAAAAAA==</t>
        </r>
      </text>
    </comment>
    <comment ref="A361" authorId="0" shapeId="0" xr:uid="{774CA33E-AF0B-49A9-BE9A-D36CC9E7FB23}">
      <text>
        <r>
          <rPr>
            <sz val="9"/>
            <color indexed="81"/>
            <rFont val="Segoe UI"/>
            <charset val="1"/>
          </rPr>
          <t>Insight iXlW00001C0000361R0080105531S00000720P02212LAocjBAQBF1NjaVRlZ2ljLmRhdGEuTW9sZWN1bGUBbwF/ARJTY2lUZWdpYy5Nb2xlY3VsZQAAAQFkAv5qAQAAAAIAAgEeARAAAAD8/AD8AAIAAAAAAADwvwAAAAAAACAAAAD8/AD8AAIAAAAAAADwvwLH3LWEfNDnPwInwoanV8r0PwAAAAAgAAAA/PwA/AACAAAAAAAA8L8CJ8KGp1fK9L8Cx9y1hHzQ5z8AAAAAHAD8APz8APwAAgAAAAAAAPC/AifChqdXyvQ/AsfctYR80Oe/AAAAABgAAAD8/AD8AAIAAAAAAADwvwLH3LWEfNDnvwInwoanV8r0vwAAAAAYAAAA/PwA/AACAAAAAAAA8L8C7uvAOSPKBEAC7Q2+MJkqiD8AAAAAHAAAAPz8APwAAgAAAAAAAPC/Au0NvjCZKog/Au7rwDkjygTAAAAAABgAAAD8/AD8AAIAAAAAAADwvwKjI7n8h/QBwAInwoanV8r0vwAAAAAgAAAA/PwA/AACAAAAAAAA8L8C7uvAOSPKBEAC/tR46SYx+D8AAAAAHAAAAPz8APwAAgAAAAAAAPC/AgJNhA1PLw9AAo/k8h/Sb+e/AAAAABgAAAD8/AD8AAIAAAAAAADwvwKP5PIf0m/nvwICTYQNTy8PwAAAAAAgAAAA/PwA/AACAAAAAAAA8L8C4lgXt9EACMAAAAAAABgAAAD8/AD8AAIAAAAAAADwvwLUmuYdp+gHwALu68A5I8oEwAAAAAAYAAAA/PwA/AACAAAAAAAA8L8CC9ejcD3KFEAC7Q2+MJkqmD8AAAAAGAAAAPz8APwAAgAAAAAAAPC/ApVliGNd3AHAAgJNhA1PLw/AAAAAABgAAAD8/AD8AAIAAAAAAADwvwKqglFJnQASwAAAAAAAHAAAAPz8APwAAgAAAAAAAPC/AgvXo3A9yhRAAhpR2ht8Yfg/AAAAABwAAAD8/AD8AAIAAAAAAADwvwKUh4Va0/wZQAJX7C+7Jw/nvwAAAAAYAAAA/PwA/AACAAAAAAAA8L8CLbKd76cGFcACJ8KGp1fK9D8AAAAAGAAAAPz8APwAAgAAAAAAAPC/ApSHhVrT/BlAAs1dS8gHPQJAAAAAABgAAAD8/AD8AAIAAAAAAADwvwICTYQNTy8fQAJyio7k8h+iPwAAAAAkAAAA/PwA/AACAAAAAAAA8L8CZohjXdwGG8ACJ8KGp1fK9D8AAAAAJAAAAPz8APwAAgAAAAAAAPC/ArHh6ZWyDBLAAu7rwDkjygRAAAAAACQAAAD8/AD8AAIAAAAAAADwvwLNzMzMzAwYwALu68A5I8oEQAAAAAAgAAAA/PwA/AACAAAAAAAA8L8ClIeFWtP8GUACPgrXo3A9DkAAAAAAGAAAAPz8APwAAgAAAAAAAPC/AgJNhA1PLx9AAjbNO07Rkfg/AAAAACAAAAD8/AD8AAIAAAAAAADwvwLG/rJ78jAiQAI9m1Wfq63mvwAAAAAYAAAA/PwA/AACAAAAAAAA8L8CC9ejcD3KFEACuECC4scYEkAAAAAAGAAAAPz8APwAAgAAAAAAAPC/Asb+snvyMCJAAkETYcPTqwHAAAAAACwABAD8/AD8AAIAAAAAAADwvwK/nxov3SQCQALufD81Xrr8vwAAAAABHgAEAWUIAAAAAAAAAAAACAFlCAAAAAAAAAAAAAwBZQQAAAAAAAAAAAAQAWUEAAAAAAAAAAAMFAFlBAAAAAAAAAAAEBgBZQgMAAAAAAAAABAcAWUEAAAAAAAAAAAUIAFlCAAAAAAAAAAAFCQBZQQAAAAAAAAAABgoAWUEAAAAAAAAAAAcLAFlBAAAAAAAAAAAHDABZQgIAAAAAAAAACQ0AWUEAAAAAAAAAAAoOAFlCAgAAAAAAAAALDwBZQQAAAAAAAAAADQBEAFlCAwAAAAAAAAANAERAWUEAAAAAAAAAAA8ARIBZQQAAAAAAAAAAAEQARMBZQQAAAAAAAAAAAERARQBZQgMAAAAAAAAAAESARUBZQQAAAAAAAAAAAESARYBZQQAAAAAAAAAAAESARcBZQQAAAAAAAAAAAETARgBZQQAAAAAAAAAAAETARkBZQgIAAAAAAAAAAEUARoBZQQAAAAAAAAAAAEYARsBZQQAAAAAAAAAAAEaARwBZQQAAAAAAAAAADA4AWUEAAAAAAAAAAABFAEZAWUEAAAAAAAAAAAAAAAA</t>
        </r>
      </text>
    </comment>
    <comment ref="A362" authorId="0" shapeId="0" xr:uid="{E88B9FB2-0023-4807-8974-10C1EFA710E9}">
      <text>
        <r>
          <rPr>
            <sz val="9"/>
            <color indexed="81"/>
            <rFont val="Segoe UI"/>
            <charset val="1"/>
          </rPr>
          <t>Insight iXlW00001C0000362R0080105531S00000722P02088LAocjBAQBF1NjaVRlZ2ljLmRhdGEuTW9sZWN1bGUBbwF/ARJTY2lUZWdpYy5Nb2xlY3VsZQAAAQFkAv5qAQAAAAIAAgEcARAAAAD8/AD8AAIAAAAAAADwvwAAAAAAABgAAAD8/AD8AAIAAAAAAADwvwKvJeSDns30PwJpke18PzXoPwAAAAAcAAAA/PwA/AACAAAAAAAA8L8Cd08eFmrNBEAAAAAAABwAAAD8/AD8AAIAAAAAAADwvwKvJeSDns30PwLImLuWkA8CQAAAAAAYAAAA/PwA/AACAAAAAAAA8L8CTmIQWDk0D0ACaZHtfD816D8AAAAAGAAAAPz8APwAAgAAAAAAAPC/AndPHhZqzQRAAtxoAG+BBPi/AAAAABgAAAD8/AD8AAIAAAAAAADwvwJ3Tx4Was0EQALcaABvgQQIQAAAAAAYAAAA/PwA/AACAAAAAAAA8L8AAtxoAG+BBAhAAAAAACAAAAD8/AD8AAIAAAAAAADwvwJ3Tx4Was0UQAAAAAAAHAAAAPz8APwAAgAAAAAAAPC/Ak5iEFg5NA9AAsiYu5aQDwJAAAAAACAAAAD8/AD8AAIAAAAAAADwvwJ3Tx4Was0EQAKlTkATYQMSQAAAAAAYAAAA/PwA/AACAAAAAAAA8L8Cd08eFmrNFEAC3GgAb4EECEAAAAAAGAAAAPz8APwAAgAAAAAAAPC/AndPHhZqzRRAAqVOQBNhAxJAAAAAABgAAAD8/AD8AAIAAAAAAADwvwLiWBe30QAaQALImLuWkA8CQAAAAAAkAAAA/PwA/AACAAAAAAAA8L8CTmIQWDk0D0ACr7Zif9n9FEAAAAAAGAAAAPz8APwAAgAAAAAAAPC/AuJYF7fRABpAAq+2Yn/Z/RRAAAAAABgAAAD8/AD8AAIAAAAAAADwvwJOYhBYOTQfQALcaABvgQQIQAAAAAAYAAAA/PwA/AACAAAAAAAA8L8CTmIQWDk0H0ACpU5AE2EDEkAAAAAAHAAAAPz8APwAAgAAAAAAAPC/Ak9AE2HDMyJAAsiYu5aQDwJAAAAAACAAAAD8/AD8AAIAAAAAAADwvwJPQBNhwzMiQAKvtmJ/2f0UQAAAAAAYAAAA/PwA/AACAAAAAAAA8L8CBcWPMXfNJEAC3GgAb4EECEAAAAAAGAAAAPz8APwAAgAAAAAAAPC/Ak9AE2HDMyJAAmmR7Xw/Neg/AAAAABgAAAD8/AD8AAIAAAAAAADwvwIFxY8xd80kQAKlTkATYQMSQAAAAAAgAAAA/PwA/AACAAAAAAAA8L8CLdSa5h1nJ0ACyJi7lpAPAkAAAAAAGAAAAPz8APwAAgAAAAAAAPC/AgXFjzF3zSRAAAAAAAAkAAAA/PwA/AACAAAAAAAA8L8Ci/1l9+TBJ0ACm3ecoiP5EEAAAAAAJAAAAPz8APwAAgAAAAAAAPC/Aoxs5/up0SVAAmyad5yioxdAAAAAABgAAAD8/AD8AAIAAAAAAADwvwIt1JrmHWcnQAJPQBNhw9PnvwAAAAABHgAEAWUIAAAAAAAAAAAECAFlBAAAAAAAAAAABAwBZQQAAAAAAAAAAAgQAWUEAAAAAAAAAAAIFAFlBAAAAAAAAAAADBgBZQQAAAAAAAAAAAwcAWUEAAAAAAAAAAAQIAFlCAAAAAAAAAAAECQBZQQAAAAAAAAAABgoAWUIAAAAAAAAAAAkLAFlBAAAAAAAAAAALDABZQgIAAAAAAAAACw0AWUEAAAAAAAAAAAwOAFlBAAAAAAAAAAAMDwBZQQAAAAAAAAAADQBEAFlCAwAAAAAAAAAPAERAWUIDAAAAAAAAAABEAESAWUEAAAAAAAAAAABEQETAWUEAAAAAAAAAAABEgEUAWUEAAAAAAAAAAABEgEVAWUEAAAAAAAAAAABEwEWAWUEAAAAAAAAAAABFAEXAWUIAAAAAAAAAAABFQEYAWUEAAAAAAAAAAABFgEZAWUEAAAAAAAAAAABFgEaAWUEAAAAAAAAAAABGAEbAWUMAAAAAAAAAAAYJAFlBAAAAAAAAAAAARABEQFlBAAAAAAAAAAAARQBFgFlBAAAAAAAAAAAAAAAAA==</t>
        </r>
      </text>
    </comment>
    <comment ref="A363" authorId="0" shapeId="0" xr:uid="{EC1A11D9-6AC0-488D-B609-25A70440BBEA}">
      <text>
        <r>
          <rPr>
            <sz val="9"/>
            <color indexed="81"/>
            <rFont val="Segoe UI"/>
            <charset val="1"/>
          </rPr>
          <t>Insight iXlW00001C0000363R0080105531S00000724P01700LAocjBAQBF1NjaVRlZ2ljLmRhdGEuTW9sZWN1bGUBbwF/ARJTY2lUZWdpYy5Nb2xlY3VsZQAAAQFkAv5qAQAAAAIAAgEXJAAAAPz8APwAAgAAAAAAAPC/AAAAAAAAGAAAAPz8APwAAgAAAAAAAPC/AAJa9bnaiv33vwAAAAAkAAAA/PwA/AACAAAAAAAA8L8CDwu1pnnH9L8C/Rhz1xLyAcAAAAAAJAAAAPz8APwAAgAAAAAAAPC/Ag8LtaZ5x/S/Aj55WKg1zee/AAAAABgAAAD8/AD8AAIAAAAAAADwvwIPC7Wmecf0PwL9GHPXEvIBwAAAAAAYAAAA/PwA/AACAAAAAAAA8L8C1zTvOEXHBEACWvW52or9978AAAAAGAAAAPz8APwAAgAAAAAAAPC/Ag8LtaZ5x/Q/AnE9Ctej8A3AAAAAABgAAAD8/AD8AAIAAAAAAADwvwJfukkMAisPQAL9GHPXEvIBwAAAAAAYAAAA/PwA/AACAAAAAAAA8L8C1zTvOEXHBEAC54wo7Q3+EcAAAAAAHAAEAPz8APwAAgAAAAAAAPC/AvMf0m9fxxRAAlr1udqK/fe/AAAAABgAAAD8/AD8AAIAAAAAAADwvwJfukkMAisPQAJxPQrXo/ANwAAAAAAcAAQA/PwA/AACAAAAAAAA8L8C1zTvOEXHBEACPgrXo3D9F8AAAAAAIAAAAPz8APwAAgAAAAAAAPC/AvMf0m9fxxRAAAAAAAAgAPwA/PwA/AACAAAAAAAA8L8Ct2J/2T35GUAC/Rhz1xLyAcAAAAAAHAAAAPz8APwAAgAAAAAAAPC/AvMf0m9fxxRAAueMKO0N/hHAAAAAACAAAAD8/AD8AAIAAAAAAADwvwIPC7Wmecf0PwJseHqlLAMbwAAAAAAgAPwA/PwA/AACAAAAAAAA8L8CX7pJDAIrD0ACbHh6pSwDG8AAAAAAGAAAAPz8APwAAgAAAAAAAPC/AvMf0m9fxxRAAj4K16Nw/RfAAAAAABgAAAD8/AD8AAIAAAAAAADwvwK3Yn/ZPfkZQAJxPQrXo/ANwAAAAAAYAAAA/PwA/AACAAAAAAAA8L8Ct2J/2T35GUACbHh6pSwDG8AAAAAAGAAAAPz8APwAAgAAAAAAAPC/Al+6SQwCKx9AAueMKO0N/hHAAAAAABgAAAD8/AD8AAIAAAAAAADwvwK3Yn/ZPfkZQALiehSuR4EgwAAAAAAYAAAA/PwA/AACAAAAAAAA8L8CkX77OnAuIkACcT0K16PwDcAAAAAAARcABAFlBAAAAAAAAAAABAgBZQQAAAAAAAAAAAQMAWUEAAAAAAAAAAAEEAFlBAAAAAAAAAAAEBQBZQgMAAAAAAAAABAYAWUEAAAAAAAAAAAUHAFlBAAAAAAAAAAAGCABZQgMAAAAAAAAABwkAWUEAAAAAAAAAAAcKAFlCAwAAAAAAAAAICwBZQQAAAAAAAAAACQwAWUIAAAAAAAAAAAkNAFlBAAAAAAAAAAAKDgBZQQAAAAAAAAAACw8AWUIAAAAAAAAAAAsARABZQQAAAAAAAAAADgBEQFlBAAAAAAAAAAAOAESAWUEAAAAAAAAAAABEQETAWUEAAAAAAAAAAABEgEUAWUEAAAAAAAAAAABEwEVAWUEAAAAAAAAAAABFAEWAWUEAAAAAAAAAAAgKAFlBAAAAAAAAAAAAAAAAA==</t>
        </r>
      </text>
    </comment>
    <comment ref="A364" authorId="0" shapeId="0" xr:uid="{6258A228-C7AD-43EA-AE0B-CBDA7126C1DC}">
      <text>
        <r>
          <rPr>
            <sz val="9"/>
            <color indexed="81"/>
            <rFont val="Segoe UI"/>
            <charset val="1"/>
          </rPr>
          <t>Insight iXlW00001C0000364R0080105531S00000726P02452LAocjBAQBF1NjaVRlZ2ljLmRhdGEuTW9sZWN1bGUBbwF/ARJTY2lUZWdpYy5Nb2xlY3VsZQAAAQFkAv5qAQAAAAIAAgEhARAAAAD8/AD8AAIAAAAAAADwvwAAAAAAACAAAAD8/AD8AAIAAAAAAADwvwI6I0p7gy/oPwJjEFg5tMj0PwAAAAAgAAAA/PwA/AACAAAAAAAA8L8CYxBYObTI9L8CAiuHFtnO5z8AAAAAHAAAAPz8APwAAgAAAAAAAPC/AmMQWDm0yPQ/AjojSnuDL+i/AAAAABgAAAD8/AD8AAIAAAAAAADwvwI6I0p7gy/ovwJjEFg5tMj0vwAAAAAYAAAA/PwA/AACAAAAAAAA8L8CKjqSy3/IBEAC7Q2+MJkqiL8AAAAAGAAAAPz8APwAAgAAAAAAAPC/AiUGgZVDCwLAAmMQWDm0yPS/AAAAABgAAAD8/AD8AAIAAAAAAADwvwLtDb4wmSqIvwIqOpLLf8gEwAAAAAAgAAAA/PwA/AACAAAAAAAA8L8CKjqSy3/IBEACkX77OnDO9z8AAAAAHAAAAPz8APwAAgAAAAAAAPC/AltCPujZLA9AAnIbDeAtkOi/AAAAABgAAAD8/AD8AAIAAAAAAADwvwKt+lxtxf4HwAAAAAAAGAAAAPz8APwAAgAAAAAAAPC/Aru4jQbwFgjAAio6kst/yATAAAAAABgAAAD8/AD8AAIAAAAAAADwvwI6I0p7gy/ovwJbQj7o2SwPwAAAAAAYAAAA/PwA/AACAAAAAAAA8L8CkX77OnDO9z8CKjqSy3/IBMAAAAAAGAAAAPz8APwAAgAAAAAAAPC/AkYldQKayBRAAu0NvjCZKpi/AAAAACAAAAD8/AD8AAIAAAAAAADwvwIlBoGVQwsCwAJjEFg5tMj0PwAAAAAgAAAA/PwA/AACAAAAAAAA8L8CArwFEhT/EcAAAAAAABgAAAD8/AD8AAIAAAAAAADwvwIzxLEubiMCwAJbQj7o2SwPwAAAAAAcAAAA/PwA/AACAAAAAAAA8L8CQz7o2az6GUACqhPQRNjw6L8AAAAAHAAAAPz8APwAAgAAAAAAAPC/AkYldQKayBRAAnUCmggbnvc/AAAAABgAAAD8/AD8AAIAAAAAAADwvwJiodY07/gUwAJjEFg5tMj0PwAAAAAYAAAA/PwA/AACAAAAAAAA8L8CW0I+6NksH0ACcoqO5PIfor8AAAAAGAAAAPz8APwAAgAAAAAAAPC/AkM+6Nms+hlAAsP1KFyPwgFAAAAAACAAAAD8/AD8AAIAAAAAAADwvwI6I0p7gy8iQALhC5OpglHpvwAAAAAcAAAA/PwA/AACAAAAAAAA8L8CW0I+6NksH0ACWoY41sVt9z8AAAAAHAAAAPz8APwAAgAAAAAAAPC/AkM+6Nms+hlAAlJJnYAmwg1AAAAAABgAAAD8/AD8AAIAAAAAAADwvwI6I0p7gy8iQAJPQBNhw1MCwAAAAAAYAAAA/PwA/AACAAAAAAAA8L8CW0I+6NksH0AC7Z48LNTaEUAAAAAAGAAAAPz8APwAAgAAAAAAAPC/AkYldQKayBRAAvT91Hjp5hFAAAAAABgAAAD8/AD8AAIAAAAAAADwvwK4rwPnjMgkQAIdyeU/pF8IwAAAAAAkAAAA/PwA/AACAAAAAAAA8L8CxbEubqNhJ0ACXf5D+u1rAsAAAAAAJAAAAPz8APwAAgAAAAAAAPC/ArivA+eMyCRAAjojSnuDLxLAAAAAACQAAAD8/AD8AAIAAAAAAADwvwLFsS5uo2EnQAKze/KwUGsOwAAAAAABIgAEAWUIAAAAAAAAAAAACAFlCAAAAAAAAAAAAAwBZQQAAAAAAAAAAAAQAWUEAAAAAAAAAAAMFAFlBAAAAAAAAAAAEBgBZQgIAAAAAAAAABAcAWUEAAAAAAAAAAAUIAFlCAAAAAAAAAAAFCQBZQQAAAAAAAAAABgoAWUEAAAAAAAAAAAYLAFlBAAAAAAAAAAAHDABZQgIAAAAAAAAABw0AWUEAAAAAAAAAAAkOAFlBAAAAAAAAAAAKDwBZQgAAAAAAAAAACgBEAFlBAAAAAAAAAAALAERAWUICAAAAAAAAAA4ARIBZQgMAAAAAAAAADgBEwFlBAAAAAAAAAAAARABFAFlBAAAAAAAAAAAARIBFQFlBAAAAAAAAAAAARMBFgFlCAwAAAAAAAAAARUBFwFlBAAAAAAAAAAAARUBGAFlCAgAAAAAAAAAARYBGQFlBAAAAAAAAAAAARcBGgFlBAAAAAAAAAAAARkBGwFlBAAAAAAAAAAAARkBHAFlBAAAAAAAAAAAARoBHQFlBAAAAAAAAAAAAR0BHgFlBAAAAAAAAAAAAR0BHwFlBAAAAAAAAAAAAR0BIAFlBAAAAAAAAAAAMAERAWUEAAAAAAAAAAABFgEYAWUEAAAAAAAAAAAAAAAA</t>
        </r>
      </text>
    </comment>
    <comment ref="A365" authorId="0" shapeId="0" xr:uid="{32977B8A-6D02-48A3-A604-07382210E0A2}">
      <text>
        <r>
          <rPr>
            <sz val="9"/>
            <color indexed="81"/>
            <rFont val="Segoe UI"/>
            <charset val="1"/>
          </rPr>
          <t>Insight iXlW00001C0000365R0080105531S00000728P02148LAocjBAQBF1NjaVRlZ2ljLmRhdGEuTW9sZWN1bGUBbwF/ARJTY2lUZWdpYy5Nb2xlY3VsZQAAAQFkAv5qAQAAAAIAAgEdARAAAAD8/AD8AAIAAAAAAADwvwAAAAAAACAAAAD8/AD8AAIAAAAAAADwvwLChqdXyjLoPwLrc7UV+8v0PwAAAAAgAAAA/PwA/AACAAAAAAAA8L8C63O1FfvL9L8CwoanV8oy6D8AAAAAHAAAAPz8APwAAgAAAAAAAPC/AutztRX7y/Q/AsKGp1fKMui/AAAAABgAAAD8/AD8AAIAAAAAAADwvwKLjuTyH9LnvwLrc7UV+8v0vwAAAAAYAAAA/PwA/AACAAAAAAAA8L8C63O1FfvLBEAC7Q2+MJkqiL8AAAAAGAAAAPz8APwAAgAAAAAAAPC/Ai//If329QHAAutztRX7y/S/AAAAABgAAAD8/AD8AAIAAAAAAADwvwAC63O1FfvLBMAAAAAAIAAAAPz8APwAAgAAAAAAAPC/AutztRX7ywRAAvw6cM6I0vc/AAAAABwAAAD8/AD8AAIAAAAAAADwvwLgLZCg+DEPQALc14FzRpTovwAAAAAYAAAA/PwA/AACAAAAAAAA8L8C0SLb+X7qB8AC63O1FfvLBMAAAAAAGAAAAPz8APwAAgAAAAAAAPC/AtEi2/l+6gfAAAAAAAAYAAAA/PwA/AACAAAAAAAA8L8CwoanV8oy6L8C4C2QoPgxD8AAAAAAGAAAAPz8APwAAgAAAAAAAPC/AutztRX7yxRAAu0NvjCZKpi/AAAAABgAAAD8/AD8AAIAAAAAAADwvwIv/yH99vUBwALgLZCg+DEPwAAAAAAkAAAA/PwA/AACAAAAAAAA8L8CIUHxY8zdAcAC63O1FfvL9D8AAAAAJAAAAPz8APwAAgAAAAAAAPC/Ai//If329RHAAAAAAAAkAAAA/PwA/AACAAAAAAAA8L8CrBxaZDvfDcAC63O1FfvL9D8AAAAAHAAAAPz8APwAAgAAAAAAAPC/AutztRX7yxRAAm8Sg8DKofc/AAAAABwAAAD8/AD8AAIAAAAAAADwvwLm0CLb+f4ZQAIU0ETY8PTovwAAAAAYAAAA/PwA/AACAAAAAAAA8L8C5tAi2/n+GUACE4PAyqHFAUAAAAAAGAAAAPz8APwAAgAAAAAAAPC/AuAtkKD4MR9AAnKKjuTyH6K/AAAAACAAAAD8/AD8AAIAAAAAAADwvwLm0CLb+f4ZQAJmiGNd3MYNQAAAAAAcAAAA/PwA/AACAAAAAAAA8L8C4C2QoPgxH0ACU5YhjnVx9z8AAAAAGAAAAPz8APwAAgAAAAAAAPC/Am7F/rJ7MiJAAkzIBz2bVem/AAAAABgAAAD8/AD8AAIAAAAAAADwvwLrc7UV+8sUQAIhQfFjzN0RQAAAAAAkAAAA/PwA/AACAAAAAAAA8L8CXf5D+u3LJEACD5wzorQ3qL8AAAAAJAAAAPz8APwAAgAAAAAAAPC/Am7F/rJ7MiJAAp/Nqs/VVgLAAAAAACQAAAD8/AD8AAIAAAAAAADwvwJd/kP67cskQAJrK/aX3ZP4vwAAAAABHgAEAWUIAAAAAAAAAAAACAFlCAAAAAAAAAAAAAwBZQQAAAAAAAAAAAAQAWUEAAAAAAAAAAAMFAFlBAAAAAAAAAAAEBgBZQgMAAAAAAAAABAcAWUEAAAAAAAAAAAUIAFlCAAAAAAAAAAAFCQBZQQAAAAAAAAAABgoAWUEAAAAAAAAAAAYLAFlBAAAAAAAAAAAHDABZQgIAAAAAAAAACQ0AWUEAAAAAAAAAAAoOAFlCAgAAAAAAAAALDwBZQQAAAAAAAAAACwBEAFlBAAAAAAAAAAALAERAWUEAAAAAAAAAAA0ARIBZQgMAAAAAAAAADQBEwFlBAAAAAAAAAAAARIBFAFlBAAAAAAAAAAAARMBFQFlCAwAAAAAAAAAARQBFgFlBAAAAAAAAAAAARQBFwFlCAgAAAAAAAAAARUBGAFlBAAAAAAAAAAAARYBGQFlBAAAAAAAAAAAARgBGgFlBAAAAAAAAAAAARgBGwFlBAAAAAAAAAAAARgBHAFlBAAAAAAAAAAAMDgBZQQAAAAAAAAAAAEVARcBZQQAAAAAAAAAAAAAAAA=</t>
        </r>
      </text>
    </comment>
    <comment ref="A366" authorId="0" shapeId="0" xr:uid="{596F4389-FDE1-4715-8DC7-FD85E67ECA33}">
      <text>
        <r>
          <rPr>
            <sz val="9"/>
            <color indexed="81"/>
            <rFont val="Segoe UI"/>
            <charset val="1"/>
          </rPr>
          <t>Insight iXlW00001C0000366R0080105531S00000730P00968LAocjBAQBF1NjaVRlZ2ljLmRhdGEuTW9sZWN1bGUBbwF/ARJTY2lUZWdpYy5Nb2xlY3VsZQAAAQFkAv5qAQAAAAIAAjQBEAAAAPz8APwAAgAAAAAAAPC/AAAAAAAAGAAAAPz8APwAAgAAAAAAAPC/ArYV+8vuyfS/AsfctYR80Oc/AAAAABgAAAD8/AD8AAIAAAAAAADwvwK2FfvL7sn0PwLH3LWEfNDnPwAAAAAgAAAA/PwA/AACAAAAAAAA8L8CthX7y+7J9L8Cak3zjlP0AUAAAAAAHAAAAPz8APwAAgAAAAAAAPC/ArYV+8vuyQTAAu0NvjCZKoi/AAAAABgAAAD8/AD8AAIAAAAAAADwvwK2FfvL7skEQAAAAAAAGAAAAPz8APwAAgAAAAAAAPC/Asl2vp8aLw/AAq2L22gAb+c/AAAAABgAAAD8/AD8AAIAAAAAAADwvwK2FfvL7skEwAKNKO0NvjD4vwAAAAAYAAAA/PwA/AACAAAAAAAA8L8CyXa+nxovD0AC/tR46SYx6D8AAAAAGAAAAPz8APwAAgAAAAAAAPC/AtIA3gIJyhTAAu0NvjCZKpi/AAAAABgAAAD8/AD8AAIAAAAAAADwvwLJdr6fGi8PwAKGyVTBqCQCwAAAAAAYAAAA/PwA/AACAAAAAAAA8L8CP8bctYT8GcACdZMYBFYO5z8AAAAAGAAAAPz8APwAAgAAAAAAAPC/Asl2vp8aLw/AAr+fGi/dJA7AAAAAADAABAFlBAAAAAAAAAAAAAgBZQQAAAAAAAAAAAQMAWUIAAAAAAAAAAAEEAFlBAAAAAAAAAAACBQBZQQAAAAAAAAAABAYAWUEAAAAAAAAAAAQHAFlBAAAAAAAAAAAFCABZQQAAAAAAAAAABgkAWUEAAAAAAAAAAAcKAFlBAAAAAAAAAAAJCwBZQQAAAAAAAAAACgwAWUEAAAAAAAAAAAAAAAA</t>
        </r>
      </text>
    </comment>
  </commentList>
</comments>
</file>

<file path=xl/sharedStrings.xml><?xml version="1.0" encoding="utf-8"?>
<sst xmlns="http://schemas.openxmlformats.org/spreadsheetml/2006/main" count="2160" uniqueCount="1181">
  <si>
    <t>2,4,5-T</t>
  </si>
  <si>
    <t>Chemical Class</t>
  </si>
  <si>
    <t>Phenoxy-carboxylates</t>
  </si>
  <si>
    <t>HRAC</t>
  </si>
  <si>
    <t>Legacy HRAC</t>
  </si>
  <si>
    <t>O</t>
  </si>
  <si>
    <t>Auxin Mimics</t>
  </si>
  <si>
    <t>IUPAC</t>
  </si>
  <si>
    <t>(2,4,5-trichlorophenoxy)acetic acid</t>
  </si>
  <si>
    <t>Formula</t>
  </si>
  <si>
    <t>C8H5Cl3O3</t>
  </si>
  <si>
    <t>2,4-D</t>
  </si>
  <si>
    <t>(2,4-dichlorophenoxy)acetic acid</t>
  </si>
  <si>
    <t>C8H6Cl2O3</t>
  </si>
  <si>
    <t>2,4-DB</t>
  </si>
  <si>
    <t>4-(2,4-dichlorophenoxy)butyric acid</t>
  </si>
  <si>
    <t>C10H10Cl2O3</t>
  </si>
  <si>
    <t>Acetochlor</t>
  </si>
  <si>
    <t>α-Chloroacetamides</t>
  </si>
  <si>
    <t>K3</t>
  </si>
  <si>
    <t>Inhibition of Very Long-Chain Fatty Acid Synthesis</t>
  </si>
  <si>
    <t>2-chloro-N-ethoxymethyl-6'-ethylacet-o-toluidide</t>
  </si>
  <si>
    <t>C14H20ClNO2</t>
  </si>
  <si>
    <t>Acifluorfen</t>
  </si>
  <si>
    <t>Diphenyl ethers</t>
  </si>
  <si>
    <t>E</t>
  </si>
  <si>
    <t>Inhibition of Protoporphyrinogen Oxidase</t>
  </si>
  <si>
    <t>5-(2-chloro-a,a,a-trifluoro-p-tolyloxy)-2-nitrobenzoic acid</t>
  </si>
  <si>
    <t>C14H7ClF3NO5</t>
  </si>
  <si>
    <t>Aclonifen</t>
  </si>
  <si>
    <t>single AI</t>
  </si>
  <si>
    <t>S</t>
  </si>
  <si>
    <t>Inhibition of Solanesyl Diphosphate Synthase</t>
  </si>
  <si>
    <t>2-chloro-6-nitro-3-phenoxyaniline</t>
  </si>
  <si>
    <t>C12H9ClN2O3</t>
  </si>
  <si>
    <t>Alachlor</t>
  </si>
  <si>
    <t>2-chloro-2',6'-diethyl-N-methoxymethylacetanilide</t>
  </si>
  <si>
    <t>Allidochlor/CDAA</t>
  </si>
  <si>
    <t>N,N-diallyl-2-chloroacetamide</t>
  </si>
  <si>
    <t>C8H12ClNO</t>
  </si>
  <si>
    <t>Alloxydim</t>
  </si>
  <si>
    <t>Cyclohexanediones (DIMs)</t>
  </si>
  <si>
    <t>A</t>
  </si>
  <si>
    <t>Inhibition of Acetyl CoA Carboxylase</t>
  </si>
  <si>
    <t>methyl (1RS)-3-[(E)-1-(allyloxyimino)butyl]-4-hydroxy-6,6-dimethyl-2-oxocyclohex-3-enecarboxylate</t>
  </si>
  <si>
    <t>C17H25NO5</t>
  </si>
  <si>
    <t>Ametryne</t>
  </si>
  <si>
    <t>Triazines</t>
  </si>
  <si>
    <t>C1,2</t>
  </si>
  <si>
    <t>Inhibition of photosynthesis PS ll - D1 Serine 264 binders</t>
  </si>
  <si>
    <t>Amicarbazone</t>
  </si>
  <si>
    <t>4-amino-N-tert-butyl-4,5-dihydro-3-isopropyl-5-oxo-1H-1,2,4-triazole-1-carboxamide</t>
  </si>
  <si>
    <t>C10H19N5O2</t>
  </si>
  <si>
    <t>Amidosulfuron</t>
  </si>
  <si>
    <t>Sulfonylureas</t>
  </si>
  <si>
    <t>B</t>
  </si>
  <si>
    <t>Inhibition of Acetolactate Synthase</t>
  </si>
  <si>
    <t>1-(4,6-dimethoxypyrimidin-2-yl)-3-mesyl(methyl)sulfamoylurea</t>
  </si>
  <si>
    <t>C9H15N5O7S2</t>
  </si>
  <si>
    <t>Aminocyclopyrachlor</t>
  </si>
  <si>
    <t>6-amino-5-chloro-2-cyclopropylpyrimidine-4-carboxylic acid</t>
  </si>
  <si>
    <t>C8H8ClN3O2</t>
  </si>
  <si>
    <t>Aminopyralid</t>
  </si>
  <si>
    <t>6-Chloropicolinates</t>
  </si>
  <si>
    <t>4-amino-3,6-dichloropyridine-2-carboxylic acidor4-amino-3,6-dichloropicolinic acid</t>
  </si>
  <si>
    <t>C6H4Cl2N2O2</t>
  </si>
  <si>
    <t>Amitrole</t>
  </si>
  <si>
    <t>F3</t>
  </si>
  <si>
    <t>Unknown Mode of Action</t>
  </si>
  <si>
    <t>1H-1,2,4-triazol-3-amine</t>
  </si>
  <si>
    <t>C2H4N4</t>
  </si>
  <si>
    <t>Anilofos</t>
  </si>
  <si>
    <t>α-Thioacetamides</t>
  </si>
  <si>
    <t>S-4-chloro-N-isopropylcarbaniloylmethyl O,O-dimethyl phosphorodithioate</t>
  </si>
  <si>
    <t>C13H19ClNO3PS2</t>
  </si>
  <si>
    <t>Asulam</t>
  </si>
  <si>
    <t>I</t>
  </si>
  <si>
    <t>Inhibition of Dihydropteroate Synthase</t>
  </si>
  <si>
    <t>methyl sulfanilylcarbamate</t>
  </si>
  <si>
    <t>C8H10N2O4S</t>
  </si>
  <si>
    <t>Atraton</t>
  </si>
  <si>
    <t>C1</t>
  </si>
  <si>
    <t>Inhbition of Photosynthesis at PS II - Serine 264 Binders</t>
  </si>
  <si>
    <t>N2-ethyl-N4-isopropyl-6-methoxy-1,3,5-triazine-2,4-diamine</t>
  </si>
  <si>
    <t>C9H17N5O</t>
  </si>
  <si>
    <t>Atrazine</t>
  </si>
  <si>
    <t>6-chloro-N2-ethyl-N4-isopropyl-1,3,5-triazine-2,4-diamine</t>
  </si>
  <si>
    <t>C8H14ClN5</t>
  </si>
  <si>
    <t>Azafenidin</t>
  </si>
  <si>
    <t>N-Phenyl-triazolinones</t>
  </si>
  <si>
    <t>2-(2,4-dichloro-5-prop-2-ynyloxyphenyl)-5,6,7,8-tetrahydro-1,2,4-triazolo[4,3-a]pyridin-3(2H)-one</t>
  </si>
  <si>
    <t>C15H13Cl2N3O2</t>
  </si>
  <si>
    <t>Azimsulfuron</t>
  </si>
  <si>
    <t>1-(4,6-dimethoxypyrimidin-2-yl)-3-[1-methyl-4-(2-methyl-2H-tetrazol-5-yl)pyrazol-5-ylsulfonyl]urea</t>
  </si>
  <si>
    <t>C13H16N10O5S</t>
  </si>
  <si>
    <t>Aziprotryne/Aziprotryn</t>
  </si>
  <si>
    <t>4-azido-N-isopropyl-6-methylthio-1,3,5-triazin-2-amine</t>
  </si>
  <si>
    <t>C7H11N7S</t>
  </si>
  <si>
    <t>Barban</t>
  </si>
  <si>
    <t>Carbamates</t>
  </si>
  <si>
    <t>K2</t>
  </si>
  <si>
    <t>4-chlorobut-2-ynyl 3-chlorocarbanilate</t>
  </si>
  <si>
    <t>C11H9Cl2NO2</t>
  </si>
  <si>
    <t>Beflubutamid</t>
  </si>
  <si>
    <t>Phenyl ethers</t>
  </si>
  <si>
    <t>F1</t>
  </si>
  <si>
    <t>Inhibition of Phytoene Desaturase</t>
  </si>
  <si>
    <t>(RS)-N-benzyl-2-(a,a,a,4-tetrafluoro-m-tolyloxy)butyramide</t>
  </si>
  <si>
    <t>C18H17F4NO2</t>
  </si>
  <si>
    <t>Benazolin-ethyl</t>
  </si>
  <si>
    <t>ethyl 4-chloro-2,3-dihydro-2-oxo-1,3-benzothiazol-3-ylacetate</t>
  </si>
  <si>
    <t>C11H10ClNO3S</t>
  </si>
  <si>
    <t>Benefin/Benfluralin</t>
  </si>
  <si>
    <t>Dinitroanilines</t>
  </si>
  <si>
    <t>K1</t>
  </si>
  <si>
    <t>N-butyl-N-ethyl-a,a,a-trifluoro-2,6-dinitro-p-toluidine</t>
  </si>
  <si>
    <t>C13H16F3N3O4</t>
  </si>
  <si>
    <t>Benfuresate</t>
  </si>
  <si>
    <t>Benzofuranes</t>
  </si>
  <si>
    <t>2,3-dihydro-3,3-dimethylbenzofuran-5-yl ethanesulfonate</t>
  </si>
  <si>
    <t>C12H16O4S</t>
  </si>
  <si>
    <t>Bensulfuron-methyl</t>
  </si>
  <si>
    <t>methyl a-[(4,6-dimethoxypyrimidin-2-ylcarbamoyl)sulfamoyl]-o-toluate</t>
  </si>
  <si>
    <t>C16H18N4O7S</t>
  </si>
  <si>
    <t>Bensulide</t>
  </si>
  <si>
    <t>Phosphorodithioate</t>
  </si>
  <si>
    <t>Z</t>
  </si>
  <si>
    <t>O,O-diisopropyl S-2-phenylsulfonylaminoethyl phosphorodithioate</t>
  </si>
  <si>
    <t>C14H24NO4PS3</t>
  </si>
  <si>
    <t>Bentazon</t>
  </si>
  <si>
    <t>C3</t>
  </si>
  <si>
    <t>Inhibition of photosynthesis PS ll - D1 Histidine 215 binders</t>
  </si>
  <si>
    <t>3-isopropyl-1H-2,1,3-benzothiadiazin-4(3H)-one 2,2-dioxide</t>
  </si>
  <si>
    <t>C10H12N2O3S</t>
  </si>
  <si>
    <t>Benzobicyclon</t>
  </si>
  <si>
    <t>Triketones</t>
  </si>
  <si>
    <t>F2</t>
  </si>
  <si>
    <t>Inhibition of Hydroxyphenyl Pyruvate Dioxygenase</t>
  </si>
  <si>
    <t>3-(2-chloro-4-mesylbenzoyl)-2-phenylthiobicyclo[3.2.1]oct-2-en-4-one</t>
  </si>
  <si>
    <t>C22H19ClO4S2</t>
  </si>
  <si>
    <t>Benzofenap</t>
  </si>
  <si>
    <t>Pyrazoles</t>
  </si>
  <si>
    <t>2-[4-(2,4-dichloro-m-toluoyl)-1,3-dimethylpyrazol-5-yloxy]-4'-methylacetophenone</t>
  </si>
  <si>
    <t>C22H20Cl2N2O3</t>
  </si>
  <si>
    <t>Benzthiazuron</t>
  </si>
  <si>
    <t>Ureas</t>
  </si>
  <si>
    <t>C2</t>
  </si>
  <si>
    <t>1-(1,3-benzothiazol-2-yl)-3-methylurea</t>
  </si>
  <si>
    <t>C9H9N3OS</t>
  </si>
  <si>
    <t>Bialaphos/Bilanafos</t>
  </si>
  <si>
    <t>Phosphinic acids</t>
  </si>
  <si>
    <t>H</t>
  </si>
  <si>
    <t>Inhibition of Glutamine Synthetase</t>
  </si>
  <si>
    <t>sodium (2S)-2-amino-4-(methylphosphinato)butyryl-L-alanyl-L-alanine</t>
  </si>
  <si>
    <t>C11H21N3NaO6P</t>
  </si>
  <si>
    <t>Bicyclopyrone</t>
  </si>
  <si>
    <t>4-hydroxy-3-{2-[(2-methoxyethoxy)methyl]-6-(trifluoromethyl)-3-pyridylcarbonyl}bicyclo[3.2.1]oct-3-en-2-one</t>
  </si>
  <si>
    <t>C19H20F3NO5</t>
  </si>
  <si>
    <t>Bifenox</t>
  </si>
  <si>
    <t>methyl 5-(2,4-dichlorophenoxy)-2-nitrobenzoate</t>
  </si>
  <si>
    <t>C14H9Cl2NO5</t>
  </si>
  <si>
    <t>Bispyribac-Na</t>
  </si>
  <si>
    <t>Pyrimidinyl benzoates</t>
  </si>
  <si>
    <t>sodium 2,6-bis(4,6-dimethoxypyrimidin-2-yloxy)benzoate</t>
  </si>
  <si>
    <t>C19H17N4NaO8</t>
  </si>
  <si>
    <t>Bixlozone</t>
  </si>
  <si>
    <t>Isoxazolidinones</t>
  </si>
  <si>
    <t>F4</t>
  </si>
  <si>
    <t>Inhibition of Deoxy-D-Xylulose Phosphate Synthase</t>
  </si>
  <si>
    <t>Bromacil</t>
  </si>
  <si>
    <t>Uracils</t>
  </si>
  <si>
    <t>(RS)-5-bromo-3-sec-butyl-6-methyluracil</t>
  </si>
  <si>
    <t>C9H13BrN2O2</t>
  </si>
  <si>
    <t>Bromobutide</t>
  </si>
  <si>
    <t>Gem-Dimethylbenzamides</t>
  </si>
  <si>
    <t>Q</t>
  </si>
  <si>
    <t>Inhibition of Fatty Acid Thioesterase</t>
  </si>
  <si>
    <t>(RS)-2-bromo-3,3-dimethyl-N-(1-methyl-1-phenylethyl)butyramide</t>
  </si>
  <si>
    <t>C15H22BrNO</t>
  </si>
  <si>
    <t>Bromofenoxim</t>
  </si>
  <si>
    <t>Nitriles</t>
  </si>
  <si>
    <t>C3/M</t>
  </si>
  <si>
    <t>Inhbition of Photosynthesis at PS II - Histidine 215 Binders/Uncouplers</t>
  </si>
  <si>
    <t>3,5-dibromo-4-hydroxybenzaldehyde 2,4-dinitrophenyloxime</t>
  </si>
  <si>
    <t>C13H7Br2N3O6</t>
  </si>
  <si>
    <t>Bromoxynil</t>
  </si>
  <si>
    <t>3,5-dibromo-4-hydroxybenzonitrile</t>
  </si>
  <si>
    <t>C7H3Br2NO</t>
  </si>
  <si>
    <t>Brompyrazon</t>
  </si>
  <si>
    <t>Pyridazinone</t>
  </si>
  <si>
    <t>5-amino-4-bromo-2-phenylpyridazin-3(2H)-one</t>
  </si>
  <si>
    <t>C10H8BrN3O</t>
  </si>
  <si>
    <t>Bromuron</t>
  </si>
  <si>
    <t>3-(4-bromophenyl)-1,1-dimethyl-urea</t>
  </si>
  <si>
    <t>Butachlor</t>
  </si>
  <si>
    <t>N-butoxymethyl-2-chloro-2',6'-diethylacetanilide</t>
  </si>
  <si>
    <t>C17H26ClNO2</t>
  </si>
  <si>
    <t>Butafenacil</t>
  </si>
  <si>
    <t>N-Phenyl-imides</t>
  </si>
  <si>
    <t>1-(allyloxycarbonyl)-1-methylethyl 2-chloro-5-[1,2,3,6-tetrahydro-3-methyl-2,6-dioxo-4-(trifluoromethyl)pyrimidin-1-yl]benzoate</t>
  </si>
  <si>
    <t>C20H18ClF3N2O6</t>
  </si>
  <si>
    <t>Butamifos</t>
  </si>
  <si>
    <t>Phosphoroamidates</t>
  </si>
  <si>
    <t>(RS)-{O-ethyl O-6-nitro-m-tolyl [(RS)-sec-butyl]phosphoramidothioate}</t>
  </si>
  <si>
    <t>C13H21N2O4PS</t>
  </si>
  <si>
    <t>Butenachlor</t>
  </si>
  <si>
    <t>(Z)-N-but-2-enyloxymethyl-2-chloro-2',6'-diethylacetanilide</t>
  </si>
  <si>
    <t>C17H24ClNO2</t>
  </si>
  <si>
    <t>Butralin</t>
  </si>
  <si>
    <t>(RS)-N-sec-butyl-4-tert-butyl-2,6-dinitroaniline</t>
  </si>
  <si>
    <t>C14H21N3O4</t>
  </si>
  <si>
    <t>Butroxydim</t>
  </si>
  <si>
    <t>(5RS)-5-(3-butyryl-2,4,6-trimethylphenyl)-2-[(EZ)-1-(ethoxyimino)propyl]-3-hydroxycyclohex-2-en-1-one</t>
  </si>
  <si>
    <t>C24H33NO4</t>
  </si>
  <si>
    <t>Buturon</t>
  </si>
  <si>
    <t>(RS)-3-(4-chlorophenyl)-1-methyl-1-(1-methylprop-2-ynyl)urea</t>
  </si>
  <si>
    <t>C12H13ClN2O</t>
  </si>
  <si>
    <t>Butylate</t>
  </si>
  <si>
    <t>Thiocarbamates</t>
  </si>
  <si>
    <t>K3/N</t>
  </si>
  <si>
    <t>S-ethyl diisobutyl(thiocarbamate)</t>
  </si>
  <si>
    <t>C11H23NOS</t>
  </si>
  <si>
    <t>CAMA</t>
  </si>
  <si>
    <t>CP 17029</t>
  </si>
  <si>
    <t>2-N,4-N-bis(3-methoxypropyl)-6-methylsulfanyl-1,3,5-triazine-2,4-diamine</t>
  </si>
  <si>
    <t>Cacodylic acid</t>
  </si>
  <si>
    <t>Cafenstrole</t>
  </si>
  <si>
    <t>Azolyl-carboxamides</t>
  </si>
  <si>
    <t>N,N-diethyl-3-mesitylsulfonyl-1H-1,2,4-triazole-1-carboxamide</t>
  </si>
  <si>
    <t>C16H22N4O3S</t>
  </si>
  <si>
    <t>Carbetamide</t>
  </si>
  <si>
    <t>(R)-1-(ethylcarbamoyl)ethyl carbanilate</t>
  </si>
  <si>
    <t>C12H16N2O3</t>
  </si>
  <si>
    <t>Carfentrazone-ethyl</t>
  </si>
  <si>
    <t>ethyl (RS)-2-chloro-3-{2-chloro-5-[4-(difluoromethyl)-4,5-dihydro-3-methyl-5-oxo-1H-1,2,4-triazol-1-yl]-4-fluorophenyl}propionate</t>
  </si>
  <si>
    <t>C15H14Cl2F3N3O3</t>
  </si>
  <si>
    <t>Chlomethoxyfen</t>
  </si>
  <si>
    <t>5-(2,4-dichlorophenoxy)-2-nitroanisoleor2,4-dichloro-1-(3-methoxy-4-nitrophenoxy)benzene</t>
  </si>
  <si>
    <t>C13H9Cl2NO4</t>
  </si>
  <si>
    <t>Chloramben</t>
  </si>
  <si>
    <t>Benzoates</t>
  </si>
  <si>
    <t>3-amino-2,5-dichlorobenzoic acid</t>
  </si>
  <si>
    <t>C7H5Cl2NO2</t>
  </si>
  <si>
    <t>Chloranocryl/Dicryl</t>
  </si>
  <si>
    <t>Amides</t>
  </si>
  <si>
    <t>3',4'-dichloro-2-methylacrylanilide</t>
  </si>
  <si>
    <t>C10H9Cl2NO</t>
  </si>
  <si>
    <t>Chlorazine</t>
  </si>
  <si>
    <t>6-chloro-N2,N2,N4,N4-tetraethyl-1,3,5-triazine-2,4-diamine</t>
  </si>
  <si>
    <t>C11H20ClN5</t>
  </si>
  <si>
    <t>Chlorbromuron</t>
  </si>
  <si>
    <t>3-(4-bromo-3-chlorophenyl)-1-methoxy-1-methylurea</t>
  </si>
  <si>
    <t>C9H10BrClN2O2</t>
  </si>
  <si>
    <t>Chlorbufam</t>
  </si>
  <si>
    <t>(RS)-1-methylprop-2-ynyl 3-chlorocarbanilate</t>
  </si>
  <si>
    <t>C11H10ClNO2</t>
  </si>
  <si>
    <t>Chlorfenac/Fenac</t>
  </si>
  <si>
    <t>(2,3,6-trichlorophenyl)acetic acid</t>
  </si>
  <si>
    <t>C8H5Cl3O2</t>
  </si>
  <si>
    <t>Chlorfenprop</t>
  </si>
  <si>
    <t>(RS)-2-chloro-3-(4-chlorophenyl)propionic acid</t>
  </si>
  <si>
    <t>C9H8Cl2O2</t>
  </si>
  <si>
    <t>Chloridazon/Pyrazon</t>
  </si>
  <si>
    <t>5-amino-4-chloro-2-phenylpyridazin-3(2H)-one</t>
  </si>
  <si>
    <t>C10H8ClN3O</t>
  </si>
  <si>
    <t>Chlorimuron-ethyl</t>
  </si>
  <si>
    <t>ethyl 2-(4-chloro-6-methoxypyrimidin-2-ylcarbamoylsulfamoyl)benzoate</t>
  </si>
  <si>
    <t>C15H15ClN4O6S</t>
  </si>
  <si>
    <t>Chlornitrofen</t>
  </si>
  <si>
    <t>4-nitrophenyl 2,4,6-trichlorophenyl ether</t>
  </si>
  <si>
    <t>C12H6Cl3NO3</t>
  </si>
  <si>
    <t>Chlorotoluron</t>
  </si>
  <si>
    <t>3-(3-chloro-p-tolyl)-1,1-dimethylurea</t>
  </si>
  <si>
    <t>C10H13ClN2O</t>
  </si>
  <si>
    <t>Chloroxuron</t>
  </si>
  <si>
    <t>3-[4-(4-chlorophenoxy)phenyl]-1,1-dimethylurea</t>
  </si>
  <si>
    <t>C15H15ClN2O2</t>
  </si>
  <si>
    <t>Chlorphthalim</t>
  </si>
  <si>
    <t>N-(4-chlorophenyl)cyclohex-1-ene-1,2-dicarboximideorN-(4-chlorophenyl)-3,4,5,6-tetrahydrophthalimide</t>
  </si>
  <si>
    <t>C14H12ClNO2</t>
  </si>
  <si>
    <t>Chlorprocarb</t>
  </si>
  <si>
    <t>Phenlcarbamates</t>
  </si>
  <si>
    <t>methyl (RS)-3-[1-(chloromethyl)propylcarbamoyloxy]carbanilate</t>
  </si>
  <si>
    <t>C13H17ClN2O4</t>
  </si>
  <si>
    <t>Chlorpropham</t>
  </si>
  <si>
    <t>isopropyl 3-chlorocarbanilate</t>
  </si>
  <si>
    <t>C10H12ClNO2</t>
  </si>
  <si>
    <t>Chlorsulfuron</t>
  </si>
  <si>
    <t>1-(2-chlorophenylsulfonyl)-3-(4-methoxy-6-methyl-1,3,5-triazin-2-yl)urea</t>
  </si>
  <si>
    <t>C12H12ClN5O4S</t>
  </si>
  <si>
    <t>Chlorthal-dimethyl/DCPA</t>
  </si>
  <si>
    <t>dimethyl tetrachloroterephthalate</t>
  </si>
  <si>
    <t>C10H6Cl4O4</t>
  </si>
  <si>
    <t>Chlorthiamid</t>
  </si>
  <si>
    <t>L</t>
  </si>
  <si>
    <t>Inhibition of Cellulose Synthesis</t>
  </si>
  <si>
    <t>2,6-dichlorothiobenzamide</t>
  </si>
  <si>
    <t>C7H5Cl2NS</t>
  </si>
  <si>
    <t>Cinidon-ethyl</t>
  </si>
  <si>
    <t>ethyl (Z)-2-chloro-3-[2-chloro-5-(cyclohex-1-ene-1,2-dicarboximido)phenyl]acrylate</t>
  </si>
  <si>
    <t>C19H17Cl2NO4</t>
  </si>
  <si>
    <t>Cinmethylin</t>
  </si>
  <si>
    <t>Benzyl ethers</t>
  </si>
  <si>
    <t>(1RS,2SR,4SR)-1,4-epoxy-p-menth-2-yl 2-methylbenzyl ether</t>
  </si>
  <si>
    <t>C18H26O2</t>
  </si>
  <si>
    <t>Cinosulfuron</t>
  </si>
  <si>
    <t>1-(4,6-dimethoxy-1,3,5-triazin-2-yl)-3-[2-(2-methoxyethoxy)phenylsulfonyl]urea</t>
  </si>
  <si>
    <t>C15H19N5O7S</t>
  </si>
  <si>
    <t>Clethodim</t>
  </si>
  <si>
    <t>(5RS)-2-{(1EZ)-1-[(2E)-3-chloroallyloxyimino]propyl}-5-[(2RS)-2-(ethylthio)propyl]-3-hydroxycyclohex-2-en-1-one</t>
  </si>
  <si>
    <t>C17H26ClNO3S</t>
  </si>
  <si>
    <t>Clodinafop-propargyl</t>
  </si>
  <si>
    <t>Aryloxyphenoxy-propionates (FOPs)</t>
  </si>
  <si>
    <t>prop-2-ynyl (R)-2-[4-(5-chloro-3-fluoro-2-pyridyloxy)phenoxy]propionate</t>
  </si>
  <si>
    <t>C17H13ClFNO4</t>
  </si>
  <si>
    <t>Clofop</t>
  </si>
  <si>
    <t>(RS)-2-[4-(4-chlorophenoxy)phenoxy]propionic acid</t>
  </si>
  <si>
    <t>C15H13ClO4</t>
  </si>
  <si>
    <t>Clomazone</t>
  </si>
  <si>
    <t>2-(2-chlorobenzyl)-4,4-dimethyl-1,2-oxazolidin-3-oneor2-(2-chlorobenzyl)-4,4-dimethylisoxazolidin-3-one</t>
  </si>
  <si>
    <t>C12H14ClNO2</t>
  </si>
  <si>
    <t>Clomeprop</t>
  </si>
  <si>
    <t>(RS)-2-(2,4-dichloro-m-tolyloxy)propionanilide</t>
  </si>
  <si>
    <t>C16H15Cl2NO2</t>
  </si>
  <si>
    <t>Cloproxydim</t>
  </si>
  <si>
    <t>(5RS)-2-{(EZ)-1-[(2EZ)-3-chloroallyloxyimino]butyl}-5-[(2RS)-2-(ethylthio)propyl]-3-hydroxycyclohex-2-en-1-one</t>
  </si>
  <si>
    <t>C18H28ClNO3S</t>
  </si>
  <si>
    <t>Clopyralid</t>
  </si>
  <si>
    <t>3,6-dichloropyridine-2-carboxylic acidor3,6-dichloropicolinic acid</t>
  </si>
  <si>
    <t>C6H3Cl2NO2</t>
  </si>
  <si>
    <t>Cloransulam-methyl</t>
  </si>
  <si>
    <t>Triazolopyrimidines - type 1</t>
  </si>
  <si>
    <t>methyl 3-chloro-2-(5-ethoxy-7-fluoro[1,2,4]triazolo[1,5-c]pyrimidin-2-ylsulfonamido)benzoateormethyl 3-chloro-N-(5-ethoxy-7-fluoro[1,2,4]triazolo[1,5-c]pyrimidin-2-ylsulfonyl)anthranilate</t>
  </si>
  <si>
    <t>C15H13ClFN5O5S</t>
  </si>
  <si>
    <t>Cumyluron</t>
  </si>
  <si>
    <t>1-(2-chlorobenzyl)-3-(1-methyl-1-phenylethyl)urea</t>
  </si>
  <si>
    <t>C17H19ClN2O</t>
  </si>
  <si>
    <t>Cyanazine</t>
  </si>
  <si>
    <t>2-(4-chloro-6-ethylamino-1,3,5-triazin-2-ylamino)-2-methylpropiononitrile</t>
  </si>
  <si>
    <t>C9H13ClN6</t>
  </si>
  <si>
    <t>Cycloate</t>
  </si>
  <si>
    <t>S-ethyl cyclohexyl(ethyl)thiocarbamate</t>
  </si>
  <si>
    <t>C11H21NOS</t>
  </si>
  <si>
    <t>Cyclopyrimorate</t>
  </si>
  <si>
    <t>T</t>
  </si>
  <si>
    <t>Inhibition of Homogentisate Solanesyltransferase</t>
  </si>
  <si>
    <t>6-chloro-3-(2-cyclopropyl-6-methylphenoxy)pyridazin-4-yl morpholine-4-carboxylate</t>
  </si>
  <si>
    <t>C19H20ClN3O4</t>
  </si>
  <si>
    <t>Cyclosulfamuron</t>
  </si>
  <si>
    <t>1-[2-(cyclopropylcarbonyl)anilinosulfonyl]-3-(4,6-dimethoxypyrimidin-2-yl)urea</t>
  </si>
  <si>
    <t>C17H19N5O6S</t>
  </si>
  <si>
    <t>Cycloxydim</t>
  </si>
  <si>
    <t>(5RS)-2-[(EZ)-1-(ethoxyimino)butyl]-3-hydroxy-5-[(3RS)-thian-3-yl]cyclohex-2-en-1-one</t>
  </si>
  <si>
    <t>C17H27NO3S</t>
  </si>
  <si>
    <t>Cyhalofop-butyl</t>
  </si>
  <si>
    <t>butyl (R)-2-[4-(4-cyano-2-fluorophenoxy)phenoxy]propionate</t>
  </si>
  <si>
    <t>C20H20FNO4</t>
  </si>
  <si>
    <t>Cyperquat</t>
  </si>
  <si>
    <t>Pyridiniums</t>
  </si>
  <si>
    <t>D</t>
  </si>
  <si>
    <t>PS l Electron Diversion</t>
  </si>
  <si>
    <t>1-methyl-4-phenylpyridinium</t>
  </si>
  <si>
    <t>C12H12N</t>
  </si>
  <si>
    <t>Cyprazine</t>
  </si>
  <si>
    <t>6-chloro-N2-cyclopropyl-N4-isopropyl-1,3,5-triazine-2,4-diamine</t>
  </si>
  <si>
    <t>C9H14ClN5</t>
  </si>
  <si>
    <t>DMPA</t>
  </si>
  <si>
    <t>(RS)-(O-2,4-dichlorophenyl O-methyl isopropylphosphoramidothioate)</t>
  </si>
  <si>
    <t>C10H14Cl2NO2PS</t>
  </si>
  <si>
    <t>DNOC</t>
  </si>
  <si>
    <t>Dinitrophenols</t>
  </si>
  <si>
    <t>M</t>
  </si>
  <si>
    <t>Uncouplers</t>
  </si>
  <si>
    <t>4,6-dinitro-o-cresol</t>
  </si>
  <si>
    <t>C7H6N2O5</t>
  </si>
  <si>
    <t>DSMA</t>
  </si>
  <si>
    <t>disodium methylarsonate</t>
  </si>
  <si>
    <t>CH3AsNa2O3</t>
  </si>
  <si>
    <t>Dalapon</t>
  </si>
  <si>
    <t>Chlorocarbonic acids</t>
  </si>
  <si>
    <t>Z/N</t>
  </si>
  <si>
    <t>2,2-dichloropropionic acid</t>
  </si>
  <si>
    <t>C3H4Cl2O2</t>
  </si>
  <si>
    <t>Delachlor</t>
  </si>
  <si>
    <t>2-chloro-N-(isobutoxymethyl)acet-2',6'-xylidide</t>
  </si>
  <si>
    <t>C15H22ClNO2</t>
  </si>
  <si>
    <t>Desmedipham</t>
  </si>
  <si>
    <t>Phenylcarbamates</t>
  </si>
  <si>
    <t>ethyl 3-phenylcarbamoyloxycarbanilate</t>
  </si>
  <si>
    <t>C16H16N2O4</t>
  </si>
  <si>
    <t>Desmetryne</t>
  </si>
  <si>
    <t>N2-isopropyl-N4-methyl-6-methylthio-1,3,5-triazine-2,4-diamine</t>
  </si>
  <si>
    <t>C8H15N5S</t>
  </si>
  <si>
    <t>Dicamba</t>
  </si>
  <si>
    <t>3,6-dichloro-o-anisic acid - 2-aminoethanol (1:1)or(2-hydroxyethyl)ammonium 3,6-dichloro-o-anisateor3,6-dichloro-2-methoxybenzoic acid - 2-aminoethanol (1:1)or(2-hydroxyethyl)ammonium 3,6-dichloro-2-methoxybenzoate</t>
  </si>
  <si>
    <t>C10H13Cl2NO4</t>
  </si>
  <si>
    <t>Dichlobenil</t>
  </si>
  <si>
    <t>2,6-dichlorobenzonitrile</t>
  </si>
  <si>
    <t>C7H3Cl2N</t>
  </si>
  <si>
    <t>Dichlorprop</t>
  </si>
  <si>
    <t>(2RS)-2-(2,4-dichlorophenoxy)propionic acid</t>
  </si>
  <si>
    <t>C9H8Cl2O3</t>
  </si>
  <si>
    <t>Diclofop-methyl</t>
  </si>
  <si>
    <t>methyl (RS)-2-[4-(2,4-dichlorophenoxy)phenoxy]propionate</t>
  </si>
  <si>
    <t>C16H14Cl2O4</t>
  </si>
  <si>
    <t>Diclosulam</t>
  </si>
  <si>
    <t>2',6'-dichloro-5-ethoxy-7-fluoro[1,2,4]triazolo[1,5-c]pyrimidine-2-sulfonanilide</t>
  </si>
  <si>
    <t>C13H10Cl2FN5O3S</t>
  </si>
  <si>
    <t>Diethatyl-ethyl</t>
  </si>
  <si>
    <t>ethyl N-chloroacetyl-N-(2,6-diethylphenyl)glycinate</t>
  </si>
  <si>
    <t>C16H22ClNO3</t>
  </si>
  <si>
    <t>Difenoxuron</t>
  </si>
  <si>
    <t>3-[4-(4-methoxyphenoxy)phenyl]-1,1-dimethylurea</t>
  </si>
  <si>
    <t>C16H18N2O3</t>
  </si>
  <si>
    <t>Difenzoquat</t>
  </si>
  <si>
    <t>1,2-dimethyl-3,5-diphenylpyrazolium</t>
  </si>
  <si>
    <t>C17H17N2</t>
  </si>
  <si>
    <t>Diflufenican</t>
  </si>
  <si>
    <t>2',4'-difluoro-2-(a,a,a-trifluoro-m-tolyloxy)nicotinanilide</t>
  </si>
  <si>
    <t>C19H11F5N2O2</t>
  </si>
  <si>
    <t>Diflufenzopyr</t>
  </si>
  <si>
    <t>Aryl-carboxylates</t>
  </si>
  <si>
    <t>P</t>
  </si>
  <si>
    <t>Auxin Transport Inhibitors</t>
  </si>
  <si>
    <t>sodium 2-{(E)-1-[4-(3,5-difluorophenyl)semicarbazono]ethyl}nicotinate</t>
  </si>
  <si>
    <t>C15H11F2N4NaO3</t>
  </si>
  <si>
    <t>Dimefuron</t>
  </si>
  <si>
    <t>3-[4-(5-tert-butyl-2,3-dihydro-2-oxo-1,3,4-oxadiazol-3-yl)-3-chlorophenyl]-1,1-dimethylurea</t>
  </si>
  <si>
    <t>C15H19ClN4O3</t>
  </si>
  <si>
    <t>Dimepiperate</t>
  </si>
  <si>
    <t>S-1-methyl-1-phenylethyl piperidine-1-carbothioate</t>
  </si>
  <si>
    <t>C15H21NOS</t>
  </si>
  <si>
    <t>Dimesulfazet</t>
  </si>
  <si>
    <t>N-[2-[(3,3-dimethyl-2-oxo-azetidin-1-yl)methyl]phenyl]-1,1,1-trifluoro-methanesulfonamide</t>
  </si>
  <si>
    <t>Dimethachlor</t>
  </si>
  <si>
    <t>2-chloro-N-(2-methoxyethyl)acet-2',6'-xylidide</t>
  </si>
  <si>
    <t>C13H18ClNO2</t>
  </si>
  <si>
    <t>Dimethametryn</t>
  </si>
  <si>
    <t>(RS)-N2-(1,2-dimethylpropyl)-N4-ethyl-6-methylthio-1,3,5-triazine-2,4-diamine</t>
  </si>
  <si>
    <t>C11H21N5S</t>
  </si>
  <si>
    <t>Dimethenamid</t>
  </si>
  <si>
    <t>(RS)-2-chloro-N-(2,4-dimethyl-3-thienyl)-N-(2-methoxy-1-methylethyl)acetamide</t>
  </si>
  <si>
    <t>C12H18ClNO2S</t>
  </si>
  <si>
    <t>Dinitramine</t>
  </si>
  <si>
    <t>N1,N1-diethyl-2,6-dinitro-4-trifluoromethyl-m-phenylenediamine</t>
  </si>
  <si>
    <t>C11H13F3N4O4</t>
  </si>
  <si>
    <t>Dinosam</t>
  </si>
  <si>
    <t>(RS)-2-(1-methylbutyl)-4,6-dinitrophenol</t>
  </si>
  <si>
    <t>C11H14N2O5</t>
  </si>
  <si>
    <t>Dinoseb</t>
  </si>
  <si>
    <t>(RS)-2-sec-butyl-4,6-dinitrophenol</t>
  </si>
  <si>
    <t>C10H12N2O5</t>
  </si>
  <si>
    <t>Dinoterb</t>
  </si>
  <si>
    <t>2-tert-butyl-4,6-dinitrophenol</t>
  </si>
  <si>
    <t>Diphenamid</t>
  </si>
  <si>
    <t>Acetamides</t>
  </si>
  <si>
    <t>N,N-dimethyl-2,2-diphenylacetamide</t>
  </si>
  <si>
    <t>C16H17NO</t>
  </si>
  <si>
    <t>Dipropetryn</t>
  </si>
  <si>
    <t>6-ethylthio-N2,N4-diisopropyl-1,3,5-triazine-2,4-diamine</t>
  </si>
  <si>
    <t>Diquat</t>
  </si>
  <si>
    <t>9,10-dihydro-8a,10a-diazoniaphenanthreneor6,7-dihydrodipyrido[1,2-a:2',1'-c]pyrazine-5,8-diiumor1,1'-ethylene-2,2'-bipyridyldiylium</t>
  </si>
  <si>
    <t>C12H12N2</t>
  </si>
  <si>
    <t>Dithiopyr</t>
  </si>
  <si>
    <t>Pyridines</t>
  </si>
  <si>
    <t>S,S'-dimethyl 2-difluoromethyl-4-isobutyl-6-trifluoromethylpyridine-3,5-dicarbothioate</t>
  </si>
  <si>
    <t>C15H16F5NO2S2</t>
  </si>
  <si>
    <t>Diuron</t>
  </si>
  <si>
    <t>3-(3,4-dichlorophenyl)-1,1-dimethylurea</t>
  </si>
  <si>
    <t>C9H10Cl2N2O</t>
  </si>
  <si>
    <t>Dymron/Daimuron</t>
  </si>
  <si>
    <t>1-(1-methyl-1-phenylethyl)-3-p-tolylureaor1-(a,a-dimethylbenzyl)-3-p-tolylurea</t>
  </si>
  <si>
    <t>C17H20N2O</t>
  </si>
  <si>
    <t>EPTC</t>
  </si>
  <si>
    <t>S-ethyl dipropyl(thiocarbamate)</t>
  </si>
  <si>
    <t>C9H19NOS</t>
  </si>
  <si>
    <t>Eglinazine-ethyl</t>
  </si>
  <si>
    <t>ethyl N-(4-chloro-6-ethylamino-1,3,5-triazin-2-yl)glycinate</t>
  </si>
  <si>
    <t>C9H14ClN5O2</t>
  </si>
  <si>
    <t>Endothal</t>
  </si>
  <si>
    <t>R</t>
  </si>
  <si>
    <t>Inhibition of Serine/Threonine Protein Phosphatase</t>
  </si>
  <si>
    <t>7-oxabicyclo[2.2.1]heptane-2,3-dicarboxylic acid</t>
  </si>
  <si>
    <t>C8H10O5</t>
  </si>
  <si>
    <t>Epyrifenacil</t>
  </si>
  <si>
    <t>Esprocarb</t>
  </si>
  <si>
    <t>S-benzyl (RS)-1,2-dimethylpropyl(ethyl)thiocarbamate</t>
  </si>
  <si>
    <t>C15H23NOS</t>
  </si>
  <si>
    <t>Ethalfluralin</t>
  </si>
  <si>
    <t>N-ethyl-a,a,a-trifluoro-N-(2-methylallyl)-2,6-dinitro-p-toluidine</t>
  </si>
  <si>
    <t>C13H14F3N3O4</t>
  </si>
  <si>
    <t>Ethametsulfuron-methyl</t>
  </si>
  <si>
    <t>methyl 2-[(4-ethoxy-6-methylamino-1,3,5-triazin-2-yl)carbamoylsulfamoyl]benzoate</t>
  </si>
  <si>
    <t>C15H18N6O6S</t>
  </si>
  <si>
    <t>Ethidimuron</t>
  </si>
  <si>
    <t>1-(5-ethylsulfonyl-1,3,4-thiadiazol-2-yl)-1,3-dimethylurea</t>
  </si>
  <si>
    <t>C7H12N4O3S2</t>
  </si>
  <si>
    <t>Ethiozin</t>
  </si>
  <si>
    <t>Triazinones</t>
  </si>
  <si>
    <t>4-amino-6-tert-butyl-3-ethylthio-1,2,4-triazin-5(4H)-one</t>
  </si>
  <si>
    <t>C9H16N4OS</t>
  </si>
  <si>
    <t>Ethofumesate</t>
  </si>
  <si>
    <t>(RS)-2-ethoxy-2,3-dihydro-3,3-dimethylbenzofuran-5-yl methanesulfonate</t>
  </si>
  <si>
    <t>C13H18O5S</t>
  </si>
  <si>
    <t>Ethoxysulfuron</t>
  </si>
  <si>
    <t>1-(4,6-dimethoxypyrimidin-2-yl)-3-(2-ethoxyphenoxysulfonyl)urea</t>
  </si>
  <si>
    <t>C15H18N4O7S</t>
  </si>
  <si>
    <t>Etinofen</t>
  </si>
  <si>
    <t>a-ethoxy-4,6-dinitro-o-cresol</t>
  </si>
  <si>
    <t>C9H10N2O6</t>
  </si>
  <si>
    <t>Etobenzanid</t>
  </si>
  <si>
    <t>2',3'-dichloro-4-ethoxymethoxybenzanilide</t>
  </si>
  <si>
    <t>C16H15Cl2NO3</t>
  </si>
  <si>
    <t>Fenoprop</t>
  </si>
  <si>
    <t>(RS)-2-(2,4,5-trichlorophenoxy)propionic acid</t>
  </si>
  <si>
    <t>C9H7Cl3O3</t>
  </si>
  <si>
    <t>Fenoxaprop-ethyl</t>
  </si>
  <si>
    <t>ethyl (RS)-2-[4-(6-chloro-1,3-benzoxazol-2-yloxy)phenoxy]propionateorethyl (RS)-2-[4-(6-chlorobenzoxazol-2-yloxy)phenoxy]propionate</t>
  </si>
  <si>
    <t>C18H16ClNO5</t>
  </si>
  <si>
    <t>Fenoxasulfone</t>
  </si>
  <si>
    <t>Isoxazolines</t>
  </si>
  <si>
    <t>2,5-dichloro-4-ethoxybenzyl 4,5-dihydro-5,5-dimethyl-1,2-oxazol-3-yl sulfoneor3-[(2,5-dichoro-4-ethoxybenzyl)sulfonyl]-4,5-dihydro-5,5-dimethyl-1,2-oxazole</t>
  </si>
  <si>
    <t>C14H17Cl2NO4S</t>
  </si>
  <si>
    <t>Fenquinotrione</t>
  </si>
  <si>
    <t>2-[8-chloro-3,4-dihydro-4-(4-methoxyphenyl)-3-oxoquinoxalin-2-ylcarbonyl]cyclohexane-1,3-dione</t>
  </si>
  <si>
    <t>C22H17ClN2O5</t>
  </si>
  <si>
    <t>Fenthiaprop</t>
  </si>
  <si>
    <t>(RS)-2-[4-(6-chloro-1,3-benzothiazol-2-yloxy)phenoxy]propionic acidor(RS)-2-[4-(6-chlorobenzothiazol-2-yloxy)phenoxy]propionic acid</t>
  </si>
  <si>
    <t>C16H12ClNO4S</t>
  </si>
  <si>
    <t>Fentrazamide</t>
  </si>
  <si>
    <t>4-(2-chlorophenyl)-N-cyclohexyl-N-ethyl-4,5-dihydro-5-oxo-1H-tetrazole-1-carboxamide</t>
  </si>
  <si>
    <t>C16H20ClN5O2</t>
  </si>
  <si>
    <t>Fenuron</t>
  </si>
  <si>
    <t>1,1-dimethyl-3-phenylurea</t>
  </si>
  <si>
    <t>C9H12N2O</t>
  </si>
  <si>
    <t>Flamprop-m</t>
  </si>
  <si>
    <t>Arylaminopropionic acid</t>
  </si>
  <si>
    <t>N-benzoyl-N-(3-chloro-4-fluorophenyl)-D-alanine</t>
  </si>
  <si>
    <t>C16H13ClFNO3</t>
  </si>
  <si>
    <t>Flazasulfuron</t>
  </si>
  <si>
    <t>1-(4,6-dimethoxypyrimidin-2-yl)-3-(3-trifluoromethyl-2-pyridylsulfonyl)urea</t>
  </si>
  <si>
    <t>C13H12F3N5O5S</t>
  </si>
  <si>
    <t>Florasulam</t>
  </si>
  <si>
    <t>2',6',8-trifluoro-5-methoxy[1,2,4]triazolo[1,5-c]pyrimidine-2-sulfonanilide</t>
  </si>
  <si>
    <t>C12H8F3N5O3S</t>
  </si>
  <si>
    <t>Florpyrauxifen</t>
  </si>
  <si>
    <t>Pyridine-carboxylates</t>
  </si>
  <si>
    <t>4-amino-3-chloro-6-(4-chloro-2-fluoro-3-methoxyphenyl)-5-fluoropyridine-2-carboxylic acidor4-amino-3-chloro-6-(4-chloro-2-fluoro-3-methoxyphenyl)-5-fluoropicolinic acid</t>
  </si>
  <si>
    <t>C13H8Cl2F2N2O3</t>
  </si>
  <si>
    <t>Fluazifop-butyl</t>
  </si>
  <si>
    <t>butyl (RS)-2-{4-[5-(trifluoromethyl)-2-pyridyloxy]phenoxy}propionate</t>
  </si>
  <si>
    <t>C19H20F3NO4</t>
  </si>
  <si>
    <t>Flucarbazone-Na</t>
  </si>
  <si>
    <t>Triazolinones</t>
  </si>
  <si>
    <t>4,5-dihydro-3-methoxy-4-methyl-5-oxo-N-[2-(trifluoromethoxy)phenylsulfonyl]-1H-1,2,4-triazole-1-carboxamide</t>
  </si>
  <si>
    <t>C12H11F3N4O6S</t>
  </si>
  <si>
    <t>Flucetosulfuron</t>
  </si>
  <si>
    <t>mixture of (1RS,2SR)-1-{3-[(4,6-dimethoxypyrimidin-2-ylcarbamoyl)sulfamoyl]-2-pyridyl}-2-fluoropropyl methoxyacetate and (1RS,2RS)-1-{3-[(4,6-dimethoxypyrimidin-2-ylcarbamoyl)sulfamoyl]-2-pyridyl}-2-fluoropropyl methoxyacetate isomer pairs in a ratio of approximately 4:1</t>
  </si>
  <si>
    <t>C18H22FN5O8S</t>
  </si>
  <si>
    <t>Fluchloralin</t>
  </si>
  <si>
    <t>N-(2-chloroethyl)-2,6-dinitro-N-propyl-4-(trifluoromethyl)anilineorN-(2-chloroethyl)-a,a,a-trifluoro-2,6-dinitro-N-propyl-p-toluidine</t>
  </si>
  <si>
    <t>C12H13ClF3N3O4</t>
  </si>
  <si>
    <t>Flufenacet</t>
  </si>
  <si>
    <t>α-Oxyacetamides</t>
  </si>
  <si>
    <t>4'-fluoro-N-isopropyl-2-[5-(trifluoromethyl)-1,3,4-thiadiazol-2-yloxy]acetanilide</t>
  </si>
  <si>
    <t>C14H13F4N3O2S</t>
  </si>
  <si>
    <t>Flumetsulam</t>
  </si>
  <si>
    <t>2',6'-difluoro-5-methyl[1,2,4]triazolo[1,5-a]pyrimidine-2-sulfonanilide</t>
  </si>
  <si>
    <t>C12H9F2N5O2S</t>
  </si>
  <si>
    <t>Flumiclorac-pentyl</t>
  </si>
  <si>
    <t>pentyl [2-chloro-5-(cyclohex-1-ene-1,2-dicarboximido)-4-fluororophenoxy]acetate</t>
  </si>
  <si>
    <t>C21H23ClFNO5</t>
  </si>
  <si>
    <t>Flumioxazin</t>
  </si>
  <si>
    <t>N-(7-fluoro-3,4-dihydro-3-oxo-4-prop-2-ynyl-2H-1,4-benzoxazin-6-yl)cyclohex-1-ene-1,2-dicarboxamide</t>
  </si>
  <si>
    <t>C19H15FN2O4</t>
  </si>
  <si>
    <t>Flumipropyn</t>
  </si>
  <si>
    <t>(RS)-N-[4-chloro-2-fluoro-5-(1-methylprop-2-ynyloxy)phenyl]cyclohex-1-ene-1,2-dicarboximide</t>
  </si>
  <si>
    <t>C18H15ClFNO3</t>
  </si>
  <si>
    <t>Fluometuron</t>
  </si>
  <si>
    <t>1,1-dimethyl-3-(a,a,a-trifluoro-m-tolyl)urea</t>
  </si>
  <si>
    <t>C10H11F3N2O</t>
  </si>
  <si>
    <t>Fluorodifen</t>
  </si>
  <si>
    <t>4-nitrophenyl a,a,a-trifluoro-2-nitro-p-tolyl ether</t>
  </si>
  <si>
    <t>C13H7F3N2O5</t>
  </si>
  <si>
    <t>Fluoroglycofen-ethyl</t>
  </si>
  <si>
    <t>ethyl O-[5-(2-chloro-a,a,a-trifluoro-p-tolyloxy)-2-nitrobenzoyl]glycolate</t>
  </si>
  <si>
    <t>C18H13ClF3NO7</t>
  </si>
  <si>
    <t>Fluoronitrofen</t>
  </si>
  <si>
    <t>2,4-dichloro-6-fluorophenyl 4-nitrophenyl ether</t>
  </si>
  <si>
    <t>C12H6Cl2FNO3</t>
  </si>
  <si>
    <t>Fluothiuron</t>
  </si>
  <si>
    <t>3-[3-chloro-4-(chlorodifluoromethylthio)phenyl]-1,1-dimethylurea</t>
  </si>
  <si>
    <t>C10H10Cl2F2N2OS</t>
  </si>
  <si>
    <t>Flupoxam</t>
  </si>
  <si>
    <t>1-[4-chloro-a-(2,2,3,3,3-pentafluoropropoxy)-m-tolyl]-5-phenyl-1H-1,2,4-triazole-3-carboxamide</t>
  </si>
  <si>
    <t>C19H14ClF5N4O2</t>
  </si>
  <si>
    <t>Flupropanate</t>
  </si>
  <si>
    <t>2,2,3,3-tetrafluoropropionic acid</t>
  </si>
  <si>
    <t>C3H2F4O2</t>
  </si>
  <si>
    <t>Flupyrsulfuron-methyl-Na</t>
  </si>
  <si>
    <t>methyl 2-[(4,6-dimethoxypyrimidin-2-ylcarbamoyl)sulfamoyl]-6-(trifluoromethyl)nicotinate</t>
  </si>
  <si>
    <t>C15H14F3N5O7S</t>
  </si>
  <si>
    <t>Fluridone</t>
  </si>
  <si>
    <t>Diphenyl heterocycles</t>
  </si>
  <si>
    <t>1-methyl-3-phenyl-5-(a,a,a-trifluoro-m-tolyl)-4-pyridone</t>
  </si>
  <si>
    <t>C19H14F3NO</t>
  </si>
  <si>
    <t>Flurochloridone</t>
  </si>
  <si>
    <t>N-Phenyl heterocycles</t>
  </si>
  <si>
    <t>mixture of the enantiomeric pairs (3RS,4RS;3RS,4SR)-3-chloro-4-chloromethyl-1-(a,a,a-trifluoro-m-tolyl)-2-pyrrolidone (isomers in the ratio 3:1)</t>
  </si>
  <si>
    <t>C12H10Cl2F3NO</t>
  </si>
  <si>
    <t>Fluroxypyr</t>
  </si>
  <si>
    <t>Pyridyloxy-carboxylates</t>
  </si>
  <si>
    <t>4-amino-3,5-dichloro-6-fluoro-2-pyridyloxyacetic acid</t>
  </si>
  <si>
    <t>C7H5Cl2FN2O3</t>
  </si>
  <si>
    <t>Flurtamone</t>
  </si>
  <si>
    <t>(2RS)-5-methylamino-2-phenyl-4-(a,a,a-trifluoro-m-tolyl)furan-3(2H)-one</t>
  </si>
  <si>
    <t>C18H14F3NO2</t>
  </si>
  <si>
    <t>Fluthiacet-methyl</t>
  </si>
  <si>
    <t>methyl {2-chloro-4-fluoro-5-[(EZ)-5,6,7,8-tetrahydro-3-oxo-1H,3H-[1,3,4]thiadiazolo[3,4-a]pyridazin-1-ylideneamino]phenylthio}acetate</t>
  </si>
  <si>
    <t>C15H15ClFN3O3S2</t>
  </si>
  <si>
    <t>Fomesafen</t>
  </si>
  <si>
    <t>5-(2-chloro-a,a,a-trifluoro-p-tolyloxy)-N-mesyl-2-nitrobenzamide</t>
  </si>
  <si>
    <t>C15H10ClF3N2O6S</t>
  </si>
  <si>
    <t>Foramsulfuron</t>
  </si>
  <si>
    <t>1-(4,6-dimethoxypyrimidin-2-yl)-3-[2-(dimethylcarbamoyl)-5-formamidophenylsulfonyl]urea</t>
  </si>
  <si>
    <t>C17H20N6O7S</t>
  </si>
  <si>
    <t>Fosamine</t>
  </si>
  <si>
    <t>ethyl hydrogen carbamoylphosphonate</t>
  </si>
  <si>
    <t>C3H8NO4P</t>
  </si>
  <si>
    <t>Glufosinate-ammonium</t>
  </si>
  <si>
    <t>ammonium (2RS)-2-amino-4-(methylphosphinato)butyric acid</t>
  </si>
  <si>
    <t>C5H15N2O4P</t>
  </si>
  <si>
    <t>Glyphosate</t>
  </si>
  <si>
    <t>G</t>
  </si>
  <si>
    <t>Inhibition of Enolpyruvyl Shikimate Phosphate Synthase</t>
  </si>
  <si>
    <t>N-(phosphonomethyl)glycine</t>
  </si>
  <si>
    <t>C3H8NO5P</t>
  </si>
  <si>
    <t>Halauxifen</t>
  </si>
  <si>
    <t>4-amino-3-chloro-6-(4-chloro-2-fluoro-3-methoxyphenyl)pyridine-2-carboxylic acidor4-amino-3-chloro-6-(4-chloro-2-fluoro-3-methoxyphenyl)picolinic acid</t>
  </si>
  <si>
    <t>C13H9Cl2FN2O3</t>
  </si>
  <si>
    <t>Halosulfuron-methyl</t>
  </si>
  <si>
    <t>methyl 3-chloro-5-(4,6-dimethoxypyrimidin-2-ylcarbamoylsulfamoyl)-1-methylpyrazole-4-carboxylate</t>
  </si>
  <si>
    <t>C13H15ClN6O7S</t>
  </si>
  <si>
    <t>Haloxyfop-methyl</t>
  </si>
  <si>
    <t>methyl (RS)-2-{4-[3-chloro-5-(trifluoromethyl)-2-pyridyloxy]phenoxy}propionate</t>
  </si>
  <si>
    <t>C16H13ClF3NO4</t>
  </si>
  <si>
    <t>Hexazinone</t>
  </si>
  <si>
    <t>3-cyclohexyl-6-dimethylamino-1-methyl-1,3,5-triazine-2,4(1H,3H)-dione</t>
  </si>
  <si>
    <t>C12H20N4O2</t>
  </si>
  <si>
    <t>Icafolin-methyl</t>
  </si>
  <si>
    <t>methyl (2&lt;I&gt;RS&lt;/I&gt;,4&lt;I&gt;RS&lt;/I&gt;)-4-[[(5&lt;I&gt;S&lt;/I&gt;)-3-(3,5-difluorophenyl)-5-vinyl-4&lt;I&gt;H&lt;/I&gt;-isoxazole-5-carbonyl]amino]tetrahydrofuran-2-carboxylate</t>
  </si>
  <si>
    <t>Imazamethabenz-methyl</t>
  </si>
  <si>
    <t>Imidazolinones</t>
  </si>
  <si>
    <t>reaction mixture of methyl 6-[(RS)-4-isopropyl-4-methyl-5-oxo-2-imidazolin-2-yl]-m-toluate and methyl 2-[(RS)-4-isopropyl-4-methyl-5-oxo-2-imidazolin-2-yl]-p-toluate in the ratio 3:2</t>
  </si>
  <si>
    <t>C16H20N2O3</t>
  </si>
  <si>
    <t>Imazamox</t>
  </si>
  <si>
    <t>2-[(RS)-4-isopropyl-4-methyl-5-oxo-2-imidazolin-2-yl]-5-methoxymethylnicotinic acid</t>
  </si>
  <si>
    <t>C15H19N3O4</t>
  </si>
  <si>
    <t>Imazapic</t>
  </si>
  <si>
    <t>2-[(RS)-4-isopropyl-4-methyl-5-oxo-2-imidazolin-2-yl]-5-methylnicotinic acid</t>
  </si>
  <si>
    <t>C14H17N3O3</t>
  </si>
  <si>
    <t>Imazapyr</t>
  </si>
  <si>
    <t>2-[(RS)-4-isopropyl-4-methyl-5-oxo-2-imidazolin-2-yl]nicotinic acid</t>
  </si>
  <si>
    <t>C13H15N3O3</t>
  </si>
  <si>
    <t>Imazaquin</t>
  </si>
  <si>
    <t>2-[(RS)-4-isopropyl-4-methyl-5-oxo-2-imidazolin-2-yl]quinoline-3-carboxylic acid</t>
  </si>
  <si>
    <t>C17H17N3O3</t>
  </si>
  <si>
    <t>Imazethapyr</t>
  </si>
  <si>
    <t>5-ethyl-2-[(RS)-4-isopropyl-4-methyl-5-oxo-2-imidazolin-2-yl]nicotinic acid</t>
  </si>
  <si>
    <t>C15H19N3O3</t>
  </si>
  <si>
    <t>Imazosulfuron</t>
  </si>
  <si>
    <t>1-(2-chloroimidazo[1,2-a]pyridin-3-ylsulfonyl)-3-(4,6-dimethoxypyrimidin-2-yl)urea</t>
  </si>
  <si>
    <t>C14H13ClN6O5S</t>
  </si>
  <si>
    <t>Indanofan</t>
  </si>
  <si>
    <t>Oxiranes</t>
  </si>
  <si>
    <t>(RS)-2-[2-(3-chlorophenyl)-2,3-epoxypropyl]-2-ethylindan-1,3-dione</t>
  </si>
  <si>
    <t>C20H17ClO3</t>
  </si>
  <si>
    <t>Indaziflam</t>
  </si>
  <si>
    <t>Alkylazines</t>
  </si>
  <si>
    <t>N2-[(1R,2S)-2,3-dihydro-2,6-dimethyl-1H-inden-1-yl]-6-[(1RS)-1-fluoroethyl]-1,3,5-triazine-2,4-diamine</t>
  </si>
  <si>
    <t>C16H20FN5</t>
  </si>
  <si>
    <t>Iodosulfuron-methyl-Na</t>
  </si>
  <si>
    <t>methyl 4-iodo-2-[(4-methoxy-6-methyl-1,3,5-triazin-2-yl)carbamoylsulfamoyl]benzoate</t>
  </si>
  <si>
    <t>C14H14IN5O6S</t>
  </si>
  <si>
    <t>Ioxynil</t>
  </si>
  <si>
    <t>4-hydroxy-3,5-diiodobenzonitrileor4-hydroxy-3,5-diiodophenyl cyanide</t>
  </si>
  <si>
    <t>C7H3I2NO</t>
  </si>
  <si>
    <t>Ipazine</t>
  </si>
  <si>
    <t>6-chloro-N2,N2-diethyl-N4-isopropyl-1,3,5-triazine-2,4-diamine</t>
  </si>
  <si>
    <t>C10H18ClN5</t>
  </si>
  <si>
    <t>Ipfencarbazone</t>
  </si>
  <si>
    <t>1-(2,4-dichlorophenyl)-2',4'-difluoro-1,5-dihydro-N-isopropyl-5-oxo-4H-1,2,4-triazole-4-carboxanilide</t>
  </si>
  <si>
    <t>C18H14Cl2F2N4O2</t>
  </si>
  <si>
    <t>Iptriazopyrid</t>
  </si>
  <si>
    <t>Azole Carboxamide</t>
  </si>
  <si>
    <t>3-[(isopropylsulfonyl)methyl]-N-(5-methyl-1,3,4-oxadiazol-2-yl)-5-(trifluoromethyl)-[1,2,4]triazolo[4,3-a]pyridine-8-carboxamide</t>
  </si>
  <si>
    <t>Isocil</t>
  </si>
  <si>
    <t>5-bromo-3-isopropyl-6-methyluracil</t>
  </si>
  <si>
    <t>C8H11BrN2O2</t>
  </si>
  <si>
    <t>Isomethiozin</t>
  </si>
  <si>
    <t>6-tert-butyl-4-[(EZ)-isobutylideneamino]-3-methylthio-1,2,4-triazin-5(4H)-one</t>
  </si>
  <si>
    <t>C12H20N4OS</t>
  </si>
  <si>
    <t>Isopropalin</t>
  </si>
  <si>
    <t>4-isopropyl-2,6-dinitro-N,N-dipropylaniline</t>
  </si>
  <si>
    <t>C15H23N3O4</t>
  </si>
  <si>
    <t>Isoproturon</t>
  </si>
  <si>
    <t>3-(4-isopropylphenyl)-1,1-dimethylureaor3-p-cumenyl-1,1-dimethylurea</t>
  </si>
  <si>
    <t>C12H18N2O</t>
  </si>
  <si>
    <t>Isouron</t>
  </si>
  <si>
    <t>3-(5-tert-butyl-1,2-oxazol-3-yl)-1,1-dimethylureaor3-(5-tert-butylisoxazol-3-yl)-1,1-dimethylurea</t>
  </si>
  <si>
    <t>C10H17N3O2</t>
  </si>
  <si>
    <t>Isoxaben</t>
  </si>
  <si>
    <t>N-[3-(1-ethyl-1-methylpropyl)-1,2-oxazol-5-yl]-2,6-dimethoxybenzamide</t>
  </si>
  <si>
    <t>C18H24N2O4</t>
  </si>
  <si>
    <t>Isoxaflutole</t>
  </si>
  <si>
    <t>(5-cyclopropyl-1,2-oxazol-4-yl)(a,a,a-trifluoro-2-mesyl-p-tolyl)methanone</t>
  </si>
  <si>
    <t>C15H12F3NO4S</t>
  </si>
  <si>
    <t>Isoxapyrifop</t>
  </si>
  <si>
    <t>(RS)-2-[2-[4-(3,5-dichloro-2-pyridyloxy)phenoxy]propionyl]-1,2-oxazolidine</t>
  </si>
  <si>
    <t>C17H16Cl2N2O4</t>
  </si>
  <si>
    <t>Lactofen</t>
  </si>
  <si>
    <t>ethyl O-[5-(2-chloro-a,a,a-trifluoro-p-tolyloxy)-2-nitrobenzoyl]-DL-lactate</t>
  </si>
  <si>
    <t>C19H15ClF3NO7</t>
  </si>
  <si>
    <t>Lenacil</t>
  </si>
  <si>
    <t>3-cyclohexyl-1,5,6,7-tetrahydrocyclopentapyrimidine-2,4(3H)-dione</t>
  </si>
  <si>
    <t>C13H18N2O2</t>
  </si>
  <si>
    <t>Linuron</t>
  </si>
  <si>
    <t>3-(3,4-dichlorophenyl)-1-methoxy-1-methylurea</t>
  </si>
  <si>
    <t>C9H10Cl2N2O2</t>
  </si>
  <si>
    <t>MCPA</t>
  </si>
  <si>
    <t>4-chloro-o-tolyloxyacetic acid - 2-aminoethanol (1:1)or(2-hydroxyethyl)ammonium 4-chloro-o-tolyloxyacetate</t>
  </si>
  <si>
    <t>C11H16ClNO4</t>
  </si>
  <si>
    <t>MCPB</t>
  </si>
  <si>
    <t>4-(4-chloro-o-tolyloxy)butyric acid</t>
  </si>
  <si>
    <t>C11H13ClO3</t>
  </si>
  <si>
    <t>MSMA</t>
  </si>
  <si>
    <t>sodium hydrogen methylarsonate</t>
  </si>
  <si>
    <t>CH4AsNaO3</t>
  </si>
  <si>
    <t>Mecoprop</t>
  </si>
  <si>
    <t>(RS)-2-(4-chloro-o-tolyloxy)propionic acid</t>
  </si>
  <si>
    <t>C10H11ClO3</t>
  </si>
  <si>
    <t>Medinoterb</t>
  </si>
  <si>
    <t>6-tert-butyl-2,4-dinitro-m-cresol</t>
  </si>
  <si>
    <t>Mefenacet</t>
  </si>
  <si>
    <t>2-(1,3-benzothiazol-2-yloxy)-N-methylacetanilideor2-benzothiazol-2-yloxy-N-methylacetanilide</t>
  </si>
  <si>
    <t>C16H14N2O2S</t>
  </si>
  <si>
    <t>Mefluidide</t>
  </si>
  <si>
    <t>Trifluoromethanesulfonanilides</t>
  </si>
  <si>
    <t>5'-(1,1,1-trifluoromethanesulfonamido)acet-2',4'-xylidide</t>
  </si>
  <si>
    <t>C11H13F3N2O3S</t>
  </si>
  <si>
    <t>Mesosulfuron-methyl</t>
  </si>
  <si>
    <t>methyl 2-[(4,6-dimethoxypyrimidin-2-ylcarbamoyl)sulfamoyl]-a-(methanesulfonamido)-p-toluate</t>
  </si>
  <si>
    <t>C17H21N5O9S2</t>
  </si>
  <si>
    <t>Mesotrione</t>
  </si>
  <si>
    <t>2-(4-mesyl-2-nitrobenzoyl)cyclohexane-1,3-dione</t>
  </si>
  <si>
    <t>C14H13NO7S</t>
  </si>
  <si>
    <t>Metamifop</t>
  </si>
  <si>
    <t>(R)-2-[4-(6-chloro-1,3-benzoxazol-2-yloxy)phenoxy]-2'-fluoro-N-methylpropionanilide</t>
  </si>
  <si>
    <t>C23H18ClFN2O4</t>
  </si>
  <si>
    <t>Metamitron</t>
  </si>
  <si>
    <t>4-amino-4,5-dihydro-3-methyl-6-phenyl-1,2,4-triazin-5-oneor4-amino-3-methyl-6-phenyl-1,2,4-triazin-5(4H)-one</t>
  </si>
  <si>
    <t>C10H10N4O</t>
  </si>
  <si>
    <t>Metazachlor</t>
  </si>
  <si>
    <t>2-chloro-N-(pyrazol-1-ylmethyl)acet-2',6'-xylidide</t>
  </si>
  <si>
    <t>C14H16ClN3O</t>
  </si>
  <si>
    <t>Metazosulfuron</t>
  </si>
  <si>
    <t>1-{3-chloro-1-methyl-4-[(5RS)-5,6-dihydro-5-methyl-1,4,2-dioxazin-3-yl]pyrazol-5-ylsulfonyl}-3-(4,6-dimethoxypyrimidin-2-yl)urea</t>
  </si>
  <si>
    <t>C15H18ClN7O7S</t>
  </si>
  <si>
    <t>Methabenzthiazuron</t>
  </si>
  <si>
    <t>1-(1,3-benzothiazol-2-yl)-1,3-dimethylureaor1-benzothiazol-2-yl-1,3-dimethylurea</t>
  </si>
  <si>
    <t>C10H11N3OS</t>
  </si>
  <si>
    <t>Methiozolin</t>
  </si>
  <si>
    <t>(5RS)-5-[(2,6-difluorobenzyloxy)methyl]-4,5-dihydro-5-methyl-3-(3-methyl-2-thienyl)-1,2-oxazole</t>
  </si>
  <si>
    <t>C17H17F2NO2S</t>
  </si>
  <si>
    <t>Methoprotryne/Methoprotryn</t>
  </si>
  <si>
    <t>N2-isopropyl-N4-(3-methoxypropyl)-6-methylthio-1,3,5-triazine-2,4-diamine</t>
  </si>
  <si>
    <t>C11H21N5OS</t>
  </si>
  <si>
    <t>Methyldymron</t>
  </si>
  <si>
    <t>1-methyl-3-(1-methyl-1-phenylethyl)-1-phenylureaor3-(a,a-dimethylbenzyl)-1-methyl-1-phenylurea</t>
  </si>
  <si>
    <t>Metobenzuron</t>
  </si>
  <si>
    <t>(RS)-1-methoxy-3-[4-(2-methoxy-2,4,4-trimethylchroman-7-yloxy)phenyl]-1-methylurea</t>
  </si>
  <si>
    <t>C22H28N2O5</t>
  </si>
  <si>
    <t>Metobromuron</t>
  </si>
  <si>
    <t>3-(4-bromophenyl)-1-methoxy-1-methylurea</t>
  </si>
  <si>
    <t>C9H11BrN2O2</t>
  </si>
  <si>
    <t>Metolachlor</t>
  </si>
  <si>
    <t>2-chloro-N-(6-ethyl-o-tolyl)-N-[(1RS)-2-methoxy-1-methylethyl]acetamideor2-chloro-6'-ethyl-N-[(1RS)-2-methoxy-1-methylethyl]acet-o-toluidide</t>
  </si>
  <si>
    <t>Metosulam</t>
  </si>
  <si>
    <t>2',6'-dichloro-5,7-dimethoxy-3'-methyl[1,2,4]triazolo[1,5-a]pyrimidine-2-sulfonanilide</t>
  </si>
  <si>
    <t>C14H13Cl2N5O4S</t>
  </si>
  <si>
    <t>Metoxuron</t>
  </si>
  <si>
    <t>3-(3-chloro-4-methoxyphenyl)-1,1-dimethylurea</t>
  </si>
  <si>
    <t>C10H13ClN2O2</t>
  </si>
  <si>
    <t>Metproxybicyclone</t>
  </si>
  <si>
    <t>[3-(2-methoxy-4-prop-1-ynyl-phenyl)-4-oxo-2-bicyclo[3.2.1]oct-2-enyl] methyl carbonate</t>
  </si>
  <si>
    <t>Metribuzin</t>
  </si>
  <si>
    <t>4-amino-6-tert-butyl-4,5-dihydro-3-methylthio-1,2,4-triazin-5-oneor4-amino-6-tert-butyl-3-methylthio-1,2,4-triazin-5(4H)-one</t>
  </si>
  <si>
    <t>C8H14N4OS</t>
  </si>
  <si>
    <t>Metsulfuron-methyl</t>
  </si>
  <si>
    <t>methyl 2-(4-methoxy-6-methyl-1,3,5-triazin-2-ylcarbamoylsulfamoyl)benzoate</t>
  </si>
  <si>
    <t>C14H15N5O6S</t>
  </si>
  <si>
    <t>Molinate</t>
  </si>
  <si>
    <t>S-ethyl azepane-1-carbothioateorS-ethyl perhydroazepine-1-carbothioateorS-ethyl perhydroazepine-1-thiocarboxylate</t>
  </si>
  <si>
    <t>C9H17NOS</t>
  </si>
  <si>
    <t>Monalide</t>
  </si>
  <si>
    <t>4'-chloro-2,2-dimethylvaleranilideor4'-chloro-a,a-dimethylvaleranilide</t>
  </si>
  <si>
    <t>C13H18ClNO</t>
  </si>
  <si>
    <t>Monolinuron</t>
  </si>
  <si>
    <t>3-(4-chlorophenyl)-1-methoxy-1-methylurea</t>
  </si>
  <si>
    <t>C9H11ClN2O2</t>
  </si>
  <si>
    <t>Monuron</t>
  </si>
  <si>
    <t>3-(4-chlorophenyl)-1,1-dimethylurea</t>
  </si>
  <si>
    <t>C9H11ClN2O</t>
  </si>
  <si>
    <t>Morfamquat</t>
  </si>
  <si>
    <t>1,1'-bis(3,5-dimethylmorpholinocarbonylmethyl)-4,4'-bipyridiniumor1,1'-bis(3,5-dimethylmorpholinocarbonylmethyl)-4,4'-bipyridyldiylium</t>
  </si>
  <si>
    <t>C26H36N4O4</t>
  </si>
  <si>
    <t>Naproanilide</t>
  </si>
  <si>
    <t>(RS)-a-2-naphthoxypropionanilide</t>
  </si>
  <si>
    <t>C19H17NO2</t>
  </si>
  <si>
    <t>Napropamide</t>
  </si>
  <si>
    <t>(RS)-N,N-diethyl-2-(1-naphthyloxy)propionamide</t>
  </si>
  <si>
    <t>C17H21NO2</t>
  </si>
  <si>
    <t>Naptalam</t>
  </si>
  <si>
    <t>N-1-naphthylphthalamic acid</t>
  </si>
  <si>
    <t>C18H13NO3</t>
  </si>
  <si>
    <t>Neburon</t>
  </si>
  <si>
    <t>1-butyl-3-(3,4-dichlorophenyl)-1-methylurea</t>
  </si>
  <si>
    <t>C12H16Cl2N2O</t>
  </si>
  <si>
    <t>Nicosulfuron</t>
  </si>
  <si>
    <t>2-[(4,6-dimethoxypyrimidin-2-ylcarbamoyl)sulfamoyl]-N,N-dimethylnicotinamideor1-(4,6-dimethoxypyrimidin-2-yl)-3-(3-dimethylcarbamoyl-2-pyridylsulfonyl)urea</t>
  </si>
  <si>
    <t>Nitralin</t>
  </si>
  <si>
    <t>4-mesyl-2,6-dinitro-N,N-dipropylaniline</t>
  </si>
  <si>
    <t>C13H19N3O6S</t>
  </si>
  <si>
    <t>Nitrofen</t>
  </si>
  <si>
    <t>2,4-dichlorophenyl 4-nitrophenyl ether</t>
  </si>
  <si>
    <t>C12H7Cl2NO3</t>
  </si>
  <si>
    <t>Norflurazon</t>
  </si>
  <si>
    <t>4-chloro-5-methylamino-2-(a,a,a-trifluoro-m-tolyl)pyridazin-3(2H)-one</t>
  </si>
  <si>
    <t>C12H9ClF3N3O</t>
  </si>
  <si>
    <t>Oleic acid</t>
  </si>
  <si>
    <t>(9Z)-Octadec-9-enoic acid</t>
  </si>
  <si>
    <t>C36H66CuO4</t>
  </si>
  <si>
    <t>Orbencarb</t>
  </si>
  <si>
    <t>S-2-chlorobenzyl diethyl(thiocarbamate)</t>
  </si>
  <si>
    <t>C12H16ClNOS</t>
  </si>
  <si>
    <t>Orthosulfamuron</t>
  </si>
  <si>
    <t>1-(4,6-dimethoxypyrimidin-2-yl)-3-[2-(dimethylcarbamoyl)phenylsulfamoyl]urea</t>
  </si>
  <si>
    <t>C16H20N6O6S</t>
  </si>
  <si>
    <t>Oryzalin</t>
  </si>
  <si>
    <t>3,5-dinitro-N4,N4-dipropylsulfanilamide</t>
  </si>
  <si>
    <t>C12H18N4O6S</t>
  </si>
  <si>
    <t>Oxadiargyl</t>
  </si>
  <si>
    <t>N-Phenyl-oxadiazolones</t>
  </si>
  <si>
    <t>5-tert-butyl-3-[2,4-dichloro-5-(prop-2-ynyloxy)phenyl]-1,3,4-oxadiazol-2(3H)-one</t>
  </si>
  <si>
    <t>C15H14Cl2N2O3</t>
  </si>
  <si>
    <t>Oxadiazon</t>
  </si>
  <si>
    <t>5-tert-butyl-3-(2,4-dichloro-5-isopropoxyphenyl)-1,3,4-oxadiazol-2(3H)-one</t>
  </si>
  <si>
    <t>C15H18Cl2N2O3</t>
  </si>
  <si>
    <t>Oxasulfuron</t>
  </si>
  <si>
    <t>oxetan-3-yl 2-[(4,6-dimethylpyrimidin-2-yl)carbamoylsulfamoyl]benzoate</t>
  </si>
  <si>
    <t>C17H18N4O6S</t>
  </si>
  <si>
    <t>Oxaziclomefone</t>
  </si>
  <si>
    <t>3-[1-(3,5-dichlorophenyl)-1-methylethyl]-3,4-dihydro-6-methyl-5-phenyl-2H-1,3-oxazin-4-one</t>
  </si>
  <si>
    <t>C20H19Cl2NO2</t>
  </si>
  <si>
    <t>Oxyfluorfen</t>
  </si>
  <si>
    <t>2-chloro-a,a,a-trifluoro-p-tolyl 3-ethoxy-4-nitrophenyl ether</t>
  </si>
  <si>
    <t>C15H11ClF3NO4</t>
  </si>
  <si>
    <t>Parafluron</t>
  </si>
  <si>
    <t>1,1-dimethyl-3-(a,a,a-trifluoro-p-tolyl)urea</t>
  </si>
  <si>
    <t>Paraquat</t>
  </si>
  <si>
    <t>1,1'-dimethyl-4,4'-bipyridinium</t>
  </si>
  <si>
    <t>C12H14N2</t>
  </si>
  <si>
    <t>Pebulate</t>
  </si>
  <si>
    <t>S-propyl butyl(ethyl)thiocarbamate</t>
  </si>
  <si>
    <t>C10H21NOS</t>
  </si>
  <si>
    <t>Pelargonic acid</t>
  </si>
  <si>
    <t>nonanoic acid</t>
  </si>
  <si>
    <t>C9H18O2</t>
  </si>
  <si>
    <t>Pendimethalin</t>
  </si>
  <si>
    <t>N-(1-ethylpropyl)-2,6-dinitro-3,4-xylidine</t>
  </si>
  <si>
    <t>C13H19N3O4</t>
  </si>
  <si>
    <t>Penoxsulam</t>
  </si>
  <si>
    <t>Triazolopyrimidines - type 2</t>
  </si>
  <si>
    <t>3-(2,2-difluoroethoxy)-N-(5,8-dimethoxy[1,2,4]triazolo[1,5-c]pyrimidin-2-yl)-a,a,a-trifluorotoluene-2-sulfonamide</t>
  </si>
  <si>
    <t>C16H14F5N5O5S</t>
  </si>
  <si>
    <t>Pentanochlor</t>
  </si>
  <si>
    <t>(RS)-3'-chloro-2-methylvaler-p-toluidide</t>
  </si>
  <si>
    <t>Pentoxazone</t>
  </si>
  <si>
    <t>3-(4-chloro-5-cyclopentyloxy-2-fluorophenyl)-5-isopropylidene-1,3-oxazolidine-2,4-dione</t>
  </si>
  <si>
    <t>C17H17ClFNO4</t>
  </si>
  <si>
    <t>Perfluidone</t>
  </si>
  <si>
    <t>1,1,1-trifluoro-N-(4-phenylsulfonyl-o-tolyl)methanesulfonamideor1,1,1-trifluoro-2'-methyl-4'-(phenylsulfonyl)methanesulfonanilide</t>
  </si>
  <si>
    <t>C14H12F3NO4S2</t>
  </si>
  <si>
    <t>Pethoxamid</t>
  </si>
  <si>
    <t>2-chloro-N-(2-ethoxyethyl)-N-(2-methyl-1-phenylprop-1-enyl)acetamide</t>
  </si>
  <si>
    <t>C16H22ClNO2</t>
  </si>
  <si>
    <t>Phenisopham</t>
  </si>
  <si>
    <t>3-(isopropoxycarbonylamino)phenyl N-ethylcarbanilate</t>
  </si>
  <si>
    <t>C19H22N2O4</t>
  </si>
  <si>
    <t>Phenmedipham</t>
  </si>
  <si>
    <t>methyl 3-(3-methylcarbaniloyloxy)carbanilateor3-methoxycarbonylaminophenyl 3-methylcarbanilate</t>
  </si>
  <si>
    <t>Picloram</t>
  </si>
  <si>
    <t>4-amino-3,5,6-trichloropyridine-2-carboxylic acidor4-amino-3,5,6-trichloropicolinic acid</t>
  </si>
  <si>
    <t>C6H3Cl3N2O2</t>
  </si>
  <si>
    <t>Picolinafen</t>
  </si>
  <si>
    <t>4'-fluoro-6-(a,a,a-trifluoro-m-tolyloxy)pyridine-2-carboxanilide</t>
  </si>
  <si>
    <t>C19H12F4N2O2</t>
  </si>
  <si>
    <t>Pinoxaden</t>
  </si>
  <si>
    <t>8-(2,6-diethyl-p-tolyl)-1,2,4,5-tetrahydro-7-oxo-7H-pyrazolo[1,2-d][1,4,5]oxadiazepin-9-yl 2,2-dimethylpropionate</t>
  </si>
  <si>
    <t>C23H32N2O4</t>
  </si>
  <si>
    <t>Piperophos</t>
  </si>
  <si>
    <t>S-2-methylpiperidinocarbonylmethyl O,O-dipropyl phosphorodithioate</t>
  </si>
  <si>
    <t>C14H28NO3PS2</t>
  </si>
  <si>
    <t>Pretilachlor</t>
  </si>
  <si>
    <t>2-chloro-2',6'-diethyl-N-(2-propoxyethyl)acetanilide</t>
  </si>
  <si>
    <t>Primisulfuron-methyl</t>
  </si>
  <si>
    <t>methyl 2-[4,6-bis(difluoromethoxy)pyrimidin-2-ylcarbamoylsulfamoyl]benzoate</t>
  </si>
  <si>
    <t>C15H12F4N4O7S</t>
  </si>
  <si>
    <t>Procyazine</t>
  </si>
  <si>
    <t>2-(4-chloro-6-cyclopropylamino-1,3,5-triazin-2-ylamino)-2-methylpropiononitrile</t>
  </si>
  <si>
    <t>C10H13ClN6</t>
  </si>
  <si>
    <t>Prodiamine</t>
  </si>
  <si>
    <t>5-dipropylamino-a,a,a-trifluoro-4,6-dinitro-o-toluidineor2,6-dinitro-N1,N1-dipropyl-4-trifluoromethyl-m-phenylenediamine</t>
  </si>
  <si>
    <t>C13H17F3N4O4</t>
  </si>
  <si>
    <t>Profluralin</t>
  </si>
  <si>
    <t>N-cyclopropylmethyl-a,a,a-trifluoro-2,6-dinitro-N-propyl-p-toluidineorN-cyclopropylmethyl-2,6-dinitro-N-propyl-4-trifluoromethylaniline</t>
  </si>
  <si>
    <t>C14H16F3N3O4</t>
  </si>
  <si>
    <t>Profoxydim</t>
  </si>
  <si>
    <t>(5RS)-2-{(EZ)-1-[(2RS)-2-(4-chlorophenoxy)propoxyimino]butyl}-3-hydroxy-5-[(3RS)-thian-3-yl]cyclohex-2-en-1-one</t>
  </si>
  <si>
    <t>C24H32ClNO4S</t>
  </si>
  <si>
    <t>Proglinazine-ethyl</t>
  </si>
  <si>
    <t>ethyl N-(4-chloro-6-isopropylamino-1,3,5-triazin-2-yl)glycinate</t>
  </si>
  <si>
    <t>C10H16ClN5O2</t>
  </si>
  <si>
    <t>Prometon</t>
  </si>
  <si>
    <t>N2,N4-diisopropyl-6-methoxy-1,3,5-triazine-2,4-diamine</t>
  </si>
  <si>
    <t>C10H19N5O</t>
  </si>
  <si>
    <t>Prometryne</t>
  </si>
  <si>
    <t>N2,N4-diisopropyl-6-methylthio-1,3,5-triazine-2,4-diamine</t>
  </si>
  <si>
    <t>C10H19N5S</t>
  </si>
  <si>
    <t>Propachlor</t>
  </si>
  <si>
    <t>2-chloro-N-isopropylacetanilideora-chloro-N-isopropylacetanilide</t>
  </si>
  <si>
    <t>C11H14ClNO</t>
  </si>
  <si>
    <t>Propanil</t>
  </si>
  <si>
    <t>3',4'-dichloropropionanilide</t>
  </si>
  <si>
    <t>C9H9Cl2NO</t>
  </si>
  <si>
    <t>Propaquizafop (EU)</t>
  </si>
  <si>
    <t>Propazine</t>
  </si>
  <si>
    <t>6-chloro-N2,N4-diisopropyl-1,3,5-triazine-2,4-diamine</t>
  </si>
  <si>
    <t>C9H16ClN5</t>
  </si>
  <si>
    <t>Propham</t>
  </si>
  <si>
    <t>isopropyl carbanilateorisopropyl phenylcarbamate</t>
  </si>
  <si>
    <t>C10H13NO2</t>
  </si>
  <si>
    <t>Propisochlor</t>
  </si>
  <si>
    <t>2-chloro-6'-ethyl-N-isopropoxymethylacet-o-toluidide</t>
  </si>
  <si>
    <t>Propoxycarbazone-Na</t>
  </si>
  <si>
    <t>methyl 2-[(4,5-dihydro-4-methyl-5-oxo-3-propoxy-1H-1,2,4-triazole-1-carboxamido)sulfonyl]benzoate</t>
  </si>
  <si>
    <t>Propyrisulfuron</t>
  </si>
  <si>
    <t>1-(2-chloro-6-propylimidazo[1,2-b]pyridazin-3-ylsulfonyl)-3-(4,6-dimethoxypyrimidin-2-yl)urea</t>
  </si>
  <si>
    <t>C16H18ClN7O5S</t>
  </si>
  <si>
    <t>Propyzamide/Pronamide</t>
  </si>
  <si>
    <t>3,5-dichloro-N-(1,1-dimethylprop-2-ynyl)benzamide</t>
  </si>
  <si>
    <t>C12H11Cl2NO</t>
  </si>
  <si>
    <t>Prosulfocarb</t>
  </si>
  <si>
    <t>S-benzyl dipropyl(thiocarbamate)</t>
  </si>
  <si>
    <t>C14H21NOS</t>
  </si>
  <si>
    <t>Prosulfuron</t>
  </si>
  <si>
    <t>1-(4-methoxy-6-methyl-1,3,5-triazin-2-yl)-3-[2-(3,3,3-trifluoropropyl)phenylsulfonyl]urea</t>
  </si>
  <si>
    <t>C15H16F3N5O4S</t>
  </si>
  <si>
    <t>Prynachlor</t>
  </si>
  <si>
    <t>(RS)-2-chloro-N-(1-methylprop-2-ynyl)acetanilide</t>
  </si>
  <si>
    <t>C12H12ClNO</t>
  </si>
  <si>
    <t>Pyraclonil</t>
  </si>
  <si>
    <t>1-(3-chloro-4,5,6,7-tetrahydropyrazolo[1,5-a]pyridin-2-yl)-5-[methyl(prop-2-ynyl)amino]pyrazole-4-carbonitrile</t>
  </si>
  <si>
    <t>C15H15ClN6</t>
  </si>
  <si>
    <t>Pyraflufen-ethyl</t>
  </si>
  <si>
    <t>ethyl [2-chloro-5-(4-chloro-5-difluoromethoxy-1-methylpyrazol-3-yl)-4-fluorophenoxy]acetate</t>
  </si>
  <si>
    <t>C15H13Cl2F3N2O4</t>
  </si>
  <si>
    <t>Pyrasulfotole</t>
  </si>
  <si>
    <t>(5-hydroxy-1,3-dimethylpyrazol-4-yl)(a,a,a-trifluoro-2-mesyl-p-tolyl)methanone</t>
  </si>
  <si>
    <t>C14H13F3N2O4S</t>
  </si>
  <si>
    <t>Pyrazolynate</t>
  </si>
  <si>
    <t>4-(2,4-dichlorobenzoyl)-1,3-dimethylpyrazol-5-yl toluene-4-sulfonate</t>
  </si>
  <si>
    <t>C19H16Cl2N2O4S</t>
  </si>
  <si>
    <t>Pyrazosulfuron-ethyl</t>
  </si>
  <si>
    <t>ethyl 5-[(4,6-dimethoxypyrimidin-2-ylcarbamoyl)sulfamoyl]-1-methylpyrazole-4-carboxylate</t>
  </si>
  <si>
    <t>C14H18N6O7S</t>
  </si>
  <si>
    <t>Pyrazoxyfen</t>
  </si>
  <si>
    <t>2-[4-(2,4-dichlorobenzoyl)-1,3-dimethylpyrazol-5-yloxy]acetophenone</t>
  </si>
  <si>
    <t>C20H16Cl2N2O3</t>
  </si>
  <si>
    <t>Pyribenzoxim</t>
  </si>
  <si>
    <t>benzophenone O-[2,6-bis(4,6-dimethoxypyrimidin-2-yloxy)benzoyl]oxime</t>
  </si>
  <si>
    <t>C32H27N5O8</t>
  </si>
  <si>
    <t>Pyributicarb</t>
  </si>
  <si>
    <t>O-3-tert-butylphenyl 6-methoxy-2-pyridyl(methyl)thiocarbamate</t>
  </si>
  <si>
    <t>C18H22N2O2S</t>
  </si>
  <si>
    <t>Pyridate</t>
  </si>
  <si>
    <t>O-6-chloro-3-phenylpyridazin-4-yl S-octyl thiocarbonate</t>
  </si>
  <si>
    <t>C19H23ClN2O2S</t>
  </si>
  <si>
    <t>Pyriftalid</t>
  </si>
  <si>
    <t>(RS)-7-(4,6-dimethoxypyrimidin-2-ylthio)-3-methyl-2-benzofuran-1(3H)-one</t>
  </si>
  <si>
    <t>C15H14N2O4S</t>
  </si>
  <si>
    <t>Pyriminobac-methyl</t>
  </si>
  <si>
    <t>methyl (EZ)-2-(4,6-dimethoxypyrimidin-2-yloxy)-6-(1-methoxyiminoethyl)benzoate</t>
  </si>
  <si>
    <t>C17H19N3O6</t>
  </si>
  <si>
    <t>Pyrimisulfan</t>
  </si>
  <si>
    <t>Sulfonanilides</t>
  </si>
  <si>
    <t>(RS)-2'-[(4,6-dimethoxypyrimidin-2-yl)(hydroxy)methyl]-1,1-difluoro-6'-(methoxymethyl)methanesulfonanilide</t>
  </si>
  <si>
    <t>C16H19F2N3O6S</t>
  </si>
  <si>
    <t>Pyrithiobac-Na</t>
  </si>
  <si>
    <t>sodium 2-chloro-6-(4,6-dimethoxypyrimidin-2-ylthio)benzoate</t>
  </si>
  <si>
    <t>C13H10ClN2NaO4S</t>
  </si>
  <si>
    <t>Pyroxasulfone</t>
  </si>
  <si>
    <t>5-(difluoromethoxy)-1-methyl-3-(trifluoromethyl)pyrazol-4-ylmethyl 4,5-dihydro-5,5-dimethyl-1,2-oxazol-3-yl sulfoneor3-[5-(difluoromethoxy)-1-methyl-3-(trifluoromethyl)pyrazol-4-ylmethylsulfonyl]-4,5-dihydro-5,5-dimethyl-1,2-oxazole</t>
  </si>
  <si>
    <t>C12H14F5N3O4S</t>
  </si>
  <si>
    <t>Pyroxsulam</t>
  </si>
  <si>
    <t>N-(5,7-dimethoxy[1,2,4]triazolo[1,5-a]pyrimidin-2-yl)-2-methoxy-4-(trifluoromethyl)pyridine-3-sulfonamide</t>
  </si>
  <si>
    <t>C14H13F3N6O5S</t>
  </si>
  <si>
    <t>Quinclorac</t>
  </si>
  <si>
    <t>Quinoline-carboxylates</t>
  </si>
  <si>
    <t>3,7-dichloroquinoline-8-carboxylic acid</t>
  </si>
  <si>
    <t>C10H5Cl2NO2</t>
  </si>
  <si>
    <t>Quinmerac</t>
  </si>
  <si>
    <t>7-chloro-3-methylquinoline-8-carboxylic acid</t>
  </si>
  <si>
    <t>C11H8ClNO2</t>
  </si>
  <si>
    <t>Quinoclamine</t>
  </si>
  <si>
    <t>2-amino-3-chloro-1,4-naphthoquinone</t>
  </si>
  <si>
    <t>C10H6ClNO2</t>
  </si>
  <si>
    <t>Quizalofop-ethyl</t>
  </si>
  <si>
    <t>ethyl (2RS)-2-[4-(6-chloroquinoxalin-2-yloxy)phenoxy]propionate</t>
  </si>
  <si>
    <t>C19H17ClN2O4</t>
  </si>
  <si>
    <t>Rimsulfuron</t>
  </si>
  <si>
    <t>1-(4,6-dimethoxypyrimidin-2-yl)-3-(3-ethylsulfonyl-2-pyridylsulfonyl)urea</t>
  </si>
  <si>
    <t>C14H17N5O7S2</t>
  </si>
  <si>
    <t>Saflufenacil</t>
  </si>
  <si>
    <t>N'-{2-chloro-4-fluoro-5-[1,2,3,6-tetrahydro-3-methyl-2,6-dioxo-4-(trifluoromethyl)pyrimidin-1-yl]benzoyl}-N-isopropyl-N-methylsulfamide</t>
  </si>
  <si>
    <t>C17H17ClF4N4O5S</t>
  </si>
  <si>
    <t>Sebuthylazine</t>
  </si>
  <si>
    <t>(RS)-N2-sec-butyl-6-chloro-N4-ethyl-1,3,5-triazine-2,4-diamine</t>
  </si>
  <si>
    <t>Secbumeton</t>
  </si>
  <si>
    <t>(RS)-N2-sec-butyl-N4-ethyl-6-methoxy-1,3,5-triazine-2,4-diamine</t>
  </si>
  <si>
    <t>Sethoxydim</t>
  </si>
  <si>
    <t>(5RS)-2-[(EZ)-1-(ethoxyimino)butyl]-5-[(2RS)-2-(ethylthio)propyl]-3-hydroxycyclohex-2-en-1-one</t>
  </si>
  <si>
    <t>C17H29NO3S</t>
  </si>
  <si>
    <t>Siduron</t>
  </si>
  <si>
    <t>1-(2-methylcyclohexyl)-3-phenylurea</t>
  </si>
  <si>
    <t>C14H20N2O</t>
  </si>
  <si>
    <t>Simazine</t>
  </si>
  <si>
    <t>6-chloro-N2,N4-diethyl-1,3,5-triazine-2,4-diamine</t>
  </si>
  <si>
    <t>C7H12ClN5</t>
  </si>
  <si>
    <t>Simetryne</t>
  </si>
  <si>
    <t>N2,N4-diethyl-6-methylthio-1,3,5-triazine-2,4-diamine</t>
  </si>
  <si>
    <t>Sulcotrione</t>
  </si>
  <si>
    <t>2-(2-chloro-4-mesylbenzoyl)cyclohexane-1,3-dione</t>
  </si>
  <si>
    <t>C14H13ClO5S</t>
  </si>
  <si>
    <t>Sulfentrazone</t>
  </si>
  <si>
    <t>2',4'-dichloro-5'-(4-difluoromethyl-4,5-dihydro-3-methyl-5-oxo-1H-1,2,4-triazol-1-yl)methanesulfonanilide</t>
  </si>
  <si>
    <t>C11H10Cl2F2N4O3S</t>
  </si>
  <si>
    <t>Sulfometuron-methyl</t>
  </si>
  <si>
    <t>methyl 2-(4,6-dimethylpyrimidin-2-ylcarbamoylsulfamoyl)benzoateormethyl 2-[3-(4,6-dimethylpyrimidin-2-yl)ureidosulfonyl]benzoate</t>
  </si>
  <si>
    <t>C15H16N4O5S</t>
  </si>
  <si>
    <t>Sulfosulfuron</t>
  </si>
  <si>
    <t>1-(4,6-dimethoxypyrimidin-2-yl)-3-(2-ethylsulfonylimidazo[1,2-a]pyridin-3-ylsulfonyl)urea</t>
  </si>
  <si>
    <t>C16H18N6O7S2</t>
  </si>
  <si>
    <t>Swep</t>
  </si>
  <si>
    <t>methyl 3,4-dichlorocarbanilate</t>
  </si>
  <si>
    <t>C8H7Cl2NO2</t>
  </si>
  <si>
    <t>TBA</t>
  </si>
  <si>
    <t>2,3,6-trichlorobenzoic acid</t>
  </si>
  <si>
    <t>C7H3Cl3O2</t>
  </si>
  <si>
    <t>TCA</t>
  </si>
  <si>
    <t>trichloroacetic acid</t>
  </si>
  <si>
    <t>C2HCl3O2</t>
  </si>
  <si>
    <t>Tebutam</t>
  </si>
  <si>
    <t>Benzamides</t>
  </si>
  <si>
    <t>Z/K1</t>
  </si>
  <si>
    <t>N-benzyl-N-isopropylpivalamideorN-benzyl-N-isopropyl-2,2-dimethylpropionamide</t>
  </si>
  <si>
    <t>C15H23NO</t>
  </si>
  <si>
    <t>Tebuthiuron</t>
  </si>
  <si>
    <t>1-(5-tert-butyl-1,3,4-thiadiazol-2-yl)-1,3-dimethylurea</t>
  </si>
  <si>
    <t>Tefuryltrione</t>
  </si>
  <si>
    <t>2-{2-chloro-4-mesyl-3-[(RS)-tetrahydro-2-furylmethoxymethyl]benzoyl}cyclohexane-1,3-dione</t>
  </si>
  <si>
    <t>C20H23ClO7S</t>
  </si>
  <si>
    <t>Tembotrione</t>
  </si>
  <si>
    <t>2-{2-chloro-4-mesyl-3-[(2,2,2-trifluoroethoxy)methyl]benzoyl}cyclohexane-1,3-dione</t>
  </si>
  <si>
    <t>C17H16ClF3O6S</t>
  </si>
  <si>
    <t>Tepraloxydim</t>
  </si>
  <si>
    <t>(5RS)-2-{(EZ)-1-[(2E)-3-chloroallyloxyimino]propyl}-3-hydroxy-5-perhydropyran-4-ylcyclohex-2-en-1-one</t>
  </si>
  <si>
    <t>C17H24ClNO4</t>
  </si>
  <si>
    <t>Terbacil</t>
  </si>
  <si>
    <t>3-tert-butyl-5-chloro-6-methyluracil</t>
  </si>
  <si>
    <t>C9H13ClN2O2</t>
  </si>
  <si>
    <t>Terbumeton</t>
  </si>
  <si>
    <t>N2-tert-butyl-N4-ethyl-6-methoxy-1,3,5-triazine-2,4-diamine</t>
  </si>
  <si>
    <t>Terbuthylazine</t>
  </si>
  <si>
    <t>N2-tert-butyl-6-chloro-N4-ethyl-1,3,5-triazine-2,4-diamine</t>
  </si>
  <si>
    <t>Terbutryne</t>
  </si>
  <si>
    <t>N2-tert-butyl-N4-ethyl-6-methylthio-1,3,5-triazine-2,4-diamine</t>
  </si>
  <si>
    <t>Tetflupyrolimet</t>
  </si>
  <si>
    <t>-</t>
  </si>
  <si>
    <t>Inhibition of Dihydroorotate Dehydrogenase</t>
  </si>
  <si>
    <t>Thenylchlor</t>
  </si>
  <si>
    <t>2-chloro-N-(3-methoxy-2-thenyl)-2',6'-dimethylacetanilide</t>
  </si>
  <si>
    <t>C16H18ClNO2S</t>
  </si>
  <si>
    <t>Thiazafluron</t>
  </si>
  <si>
    <t>1,3-dimethyl-1-(5-trifluoromethyl-1,3,4-thiadiazol-2-yl)urea</t>
  </si>
  <si>
    <t>C6H7F3N4OS</t>
  </si>
  <si>
    <t>Thiazopyr</t>
  </si>
  <si>
    <t>methyl 2-difluoromethyl-5-(4,5-dihydro-1,3-thiazol-2-yl)-4-isobutyl-6-trifluoromethylnicotinate</t>
  </si>
  <si>
    <t>C16H17F5N2O2S</t>
  </si>
  <si>
    <t>Thiencarbazone-methyl</t>
  </si>
  <si>
    <t>4-[(4,5-dihydro-3-methoxy-4-methyl-5-oxo-1H-1,2,4-triazol-1-yl)carbonylsulfamoyl]-5-methylthiophene-3-carboxylic acid</t>
  </si>
  <si>
    <t>C11H12N4O7S2</t>
  </si>
  <si>
    <t>Thifensulfuron-methyl</t>
  </si>
  <si>
    <t>methyl 3-(4-methoxy-6-methyl-1,3,5-triazin-2-ylcarbamoylsulfamoyl)thiophene-2-carboxylate</t>
  </si>
  <si>
    <t>C12H13N5O6S2</t>
  </si>
  <si>
    <t>Thiobencarb/Benthiocarb</t>
  </si>
  <si>
    <t>S-4-chlorobenzyl diethyl(thiocarbamate)</t>
  </si>
  <si>
    <t>Tiafenacil</t>
  </si>
  <si>
    <t>methyl 3-[(2RS)-2-{2-chloro-4-fluoro-5-[1,2,3,6-tetrahydro-3-methyl-2,6-dioxo-4-(trifluoromethyl)pyrimidin-1(6H)-yl]phenylthio}propionamido]propionate</t>
  </si>
  <si>
    <t>C19H18ClF4N3O5S</t>
  </si>
  <si>
    <t>Tiocarbazil</t>
  </si>
  <si>
    <t>S-benzyl di-sec-butyl(thiocarbamate)</t>
  </si>
  <si>
    <t>C16H25NOS</t>
  </si>
  <si>
    <t>Tolpyralate</t>
  </si>
  <si>
    <t>(RS)-1-{1-ethyl-4-[4-mesyl-3-(2-methoxyethoxy)-o-toluoyl]pyrazol-5-yloxy}ethyl methyl carbonate</t>
  </si>
  <si>
    <t>C21H28N2O9S</t>
  </si>
  <si>
    <t>Topramezone</t>
  </si>
  <si>
    <t>[3-(4,5-dihydro-1,2-oxazol-3-yl)-4-mesyl-o-tolyl](5-hydroxy-1-methylpyrazol-4-yl)methanone</t>
  </si>
  <si>
    <t>C16H17N3O5S</t>
  </si>
  <si>
    <t>Tralkoxydim</t>
  </si>
  <si>
    <t>(RS)-2-[(EZ)-1-(ethoxyimino)propyl]-3-hydroxy-5-mesitylcyclohex-2-en-1-one</t>
  </si>
  <si>
    <t>C20H27NO3</t>
  </si>
  <si>
    <t>Triafamone</t>
  </si>
  <si>
    <t>2'-[(4,6-dimethoxy-1,3,5-triazin-2-yl)carbonyl]-1,1,6'-trifluoro-N-methylmethanesulfonanilide</t>
  </si>
  <si>
    <t>C14H13F3N4O5S</t>
  </si>
  <si>
    <t>Triallate</t>
  </si>
  <si>
    <t>S-2,3,3-trichloroallyl diisopropyl(thiocarbamate)</t>
  </si>
  <si>
    <t>C10H16Cl3NOS</t>
  </si>
  <si>
    <t>Triasulfuron</t>
  </si>
  <si>
    <t>1-[2-(2-chloroethoxy)phenylsulfonyl]-3-(4-methoxy-6-methyl-1,3,5-triazin-2-yl)urea</t>
  </si>
  <si>
    <t>C14H16ClN5O5S</t>
  </si>
  <si>
    <t>Triaziflam</t>
  </si>
  <si>
    <t>(RS)-N2-[2-(3,5-dimethylphenoxy)-1-methylethyl]-6-(1-fluoro-1-methylethyl)-1,3,5-triazine-2,4-diamine</t>
  </si>
  <si>
    <t>C17H24FN5O</t>
  </si>
  <si>
    <t>Tribenuron-methyl</t>
  </si>
  <si>
    <t>methyl 2-[4-methoxy-6-methyl-1,3,5-triazin-2-yl(methyl)carbamoylsulfamoyl]benzoate</t>
  </si>
  <si>
    <t>C15H17N5O6S</t>
  </si>
  <si>
    <t>Triclopyr</t>
  </si>
  <si>
    <t>3,5,6-trichloro-2-pyridyloxyacetic acid</t>
  </si>
  <si>
    <t>C7H4Cl3NO3</t>
  </si>
  <si>
    <t>Tridiphane</t>
  </si>
  <si>
    <t>(RS)-2-(3,5-dichlorophenyl)-2-(2,2,2-trichloroethyl)oxirane</t>
  </si>
  <si>
    <t>C10H7Cl5O</t>
  </si>
  <si>
    <t>Trietazine</t>
  </si>
  <si>
    <t>6-chloro-N2,N2,N4-triethyl-1,3,5-triazine-2,4-diamine</t>
  </si>
  <si>
    <t>Trifloxysulfuron-Na</t>
  </si>
  <si>
    <t>1-(4,6-dimethoxypyrimidin-2-yl)-3-[3-(2,2,2-trifluoroethoxy)-2-pyridylsulfonyl]urea</t>
  </si>
  <si>
    <t>C14H14F3N5O6S</t>
  </si>
  <si>
    <t>Trifludimoxazin</t>
  </si>
  <si>
    <t>1,5-dimethyl-6-thioxo-3-(2,2,7-trifluoro-3,4-dihydro-3-oxo-4-prop-2-ynyl-2H-1,4-benzoxazin-6-yl)-1,3,5-triazinane-2,4-dione</t>
  </si>
  <si>
    <t>C16H11F3N4O4S</t>
  </si>
  <si>
    <t>Trifluralin</t>
  </si>
  <si>
    <t>a,a,a-trifluoro-2,6-dinitro-N,N-dipropyl-p-toluidine</t>
  </si>
  <si>
    <t>Triflusulfuron-methyl</t>
  </si>
  <si>
    <t>methyl 2-[4-dimethylamino-6-(2,2,2-trifluoroethoxy)-1,3,5-triazin-2-ylcarbamoylsulfamoyl]-m-toluate</t>
  </si>
  <si>
    <t>C17H19F3N6O6S</t>
  </si>
  <si>
    <t>Tritosulfuron</t>
  </si>
  <si>
    <t>1-[4-methoxy-6-(trifluoromethyl)-1,3,5-triazin-2-yl]-3-[2-(trifluoromethyl)phenylsulfonyl]urea</t>
  </si>
  <si>
    <t>C13H9F6N5O4S</t>
  </si>
  <si>
    <t>Vernolate</t>
  </si>
  <si>
    <t>S-propyl dipropyl(thiocarbamate)</t>
  </si>
  <si>
    <t>Rimisoxafen</t>
  </si>
  <si>
    <t>Inhibition of Phytoene Desaturase/Inhibition of Solanesyl Diphosphate Synthase</t>
  </si>
  <si>
    <t>5-[2-chloro-6-(5-chloropyrimidin-2-yl)oxy-phenyl]-3-(difluoromethyl)isoxazole</t>
  </si>
  <si>
    <t>C14 H7 Cl2 F2 N3 O2</t>
  </si>
  <si>
    <t>12 and 32</t>
  </si>
  <si>
    <t>Molecular Structure</t>
  </si>
  <si>
    <t>Active</t>
  </si>
  <si>
    <t>Mode of Action</t>
  </si>
  <si>
    <t>Microtubule Interference - Unclear Site of Action</t>
  </si>
  <si>
    <t>Inhibition of Microtubule Assembly - α-Tubulin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</si>
</sst>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Segoe UI"/>
      <charset val="1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17" fontId="0" fillId="0" borderId="0" xfId="0" applyNumberFormat="1" applyAlignment="1">
      <alignment wrapText="1"/>
    </xf>
    <xf numFmtId="0" fontId="0" fillId="0" borderId="0" xfId="0" quotePrefix="1" applyAlignment="1">
      <alignment wrapText="1"/>
    </xf>
    <xf numFmtId="0" fontId="3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tmp"/><Relationship Id="rId299" Type="http://schemas.openxmlformats.org/officeDocument/2006/relationships/image" Target="../media/image299.tmp"/><Relationship Id="rId21" Type="http://schemas.openxmlformats.org/officeDocument/2006/relationships/image" Target="../media/image21.tmp"/><Relationship Id="rId63" Type="http://schemas.openxmlformats.org/officeDocument/2006/relationships/image" Target="../media/image63.tmp"/><Relationship Id="rId159" Type="http://schemas.openxmlformats.org/officeDocument/2006/relationships/image" Target="../media/image159.tmp"/><Relationship Id="rId324" Type="http://schemas.openxmlformats.org/officeDocument/2006/relationships/image" Target="../media/image324.tmp"/><Relationship Id="rId170" Type="http://schemas.openxmlformats.org/officeDocument/2006/relationships/image" Target="../media/image170.tmp"/><Relationship Id="rId226" Type="http://schemas.openxmlformats.org/officeDocument/2006/relationships/image" Target="../media/image226.tmp"/><Relationship Id="rId268" Type="http://schemas.openxmlformats.org/officeDocument/2006/relationships/image" Target="../media/image268.tmp"/><Relationship Id="rId32" Type="http://schemas.openxmlformats.org/officeDocument/2006/relationships/image" Target="../media/image32.tmp"/><Relationship Id="rId74" Type="http://schemas.openxmlformats.org/officeDocument/2006/relationships/image" Target="../media/image74.tmp"/><Relationship Id="rId128" Type="http://schemas.openxmlformats.org/officeDocument/2006/relationships/image" Target="../media/image128.tmp"/><Relationship Id="rId335" Type="http://schemas.openxmlformats.org/officeDocument/2006/relationships/image" Target="../media/image335.tmp"/><Relationship Id="rId5" Type="http://schemas.openxmlformats.org/officeDocument/2006/relationships/image" Target="../media/image5.tmp"/><Relationship Id="rId181" Type="http://schemas.openxmlformats.org/officeDocument/2006/relationships/image" Target="../media/image181.tmp"/><Relationship Id="rId237" Type="http://schemas.openxmlformats.org/officeDocument/2006/relationships/image" Target="../media/image237.tmp"/><Relationship Id="rId279" Type="http://schemas.openxmlformats.org/officeDocument/2006/relationships/image" Target="../media/image279.tmp"/><Relationship Id="rId43" Type="http://schemas.openxmlformats.org/officeDocument/2006/relationships/image" Target="../media/image43.tmp"/><Relationship Id="rId139" Type="http://schemas.openxmlformats.org/officeDocument/2006/relationships/image" Target="../media/image139.tmp"/><Relationship Id="rId290" Type="http://schemas.openxmlformats.org/officeDocument/2006/relationships/image" Target="../media/image290.tmp"/><Relationship Id="rId304" Type="http://schemas.openxmlformats.org/officeDocument/2006/relationships/image" Target="../media/image304.tmp"/><Relationship Id="rId346" Type="http://schemas.openxmlformats.org/officeDocument/2006/relationships/image" Target="../media/image346.tmp"/><Relationship Id="rId85" Type="http://schemas.openxmlformats.org/officeDocument/2006/relationships/image" Target="../media/image85.tmp"/><Relationship Id="rId150" Type="http://schemas.openxmlformats.org/officeDocument/2006/relationships/image" Target="../media/image150.tmp"/><Relationship Id="rId192" Type="http://schemas.openxmlformats.org/officeDocument/2006/relationships/image" Target="../media/image192.tmp"/><Relationship Id="rId206" Type="http://schemas.openxmlformats.org/officeDocument/2006/relationships/image" Target="../media/image206.tmp"/><Relationship Id="rId248" Type="http://schemas.openxmlformats.org/officeDocument/2006/relationships/image" Target="../media/image248.tmp"/><Relationship Id="rId12" Type="http://schemas.openxmlformats.org/officeDocument/2006/relationships/image" Target="../media/image12.tmp"/><Relationship Id="rId108" Type="http://schemas.openxmlformats.org/officeDocument/2006/relationships/image" Target="../media/image108.tmp"/><Relationship Id="rId315" Type="http://schemas.openxmlformats.org/officeDocument/2006/relationships/image" Target="../media/image315.tmp"/><Relationship Id="rId357" Type="http://schemas.openxmlformats.org/officeDocument/2006/relationships/image" Target="../media/image357.tmp"/><Relationship Id="rId54" Type="http://schemas.openxmlformats.org/officeDocument/2006/relationships/image" Target="../media/image54.tmp"/><Relationship Id="rId96" Type="http://schemas.openxmlformats.org/officeDocument/2006/relationships/image" Target="../media/image96.tmp"/><Relationship Id="rId161" Type="http://schemas.openxmlformats.org/officeDocument/2006/relationships/image" Target="../media/image161.tmp"/><Relationship Id="rId217" Type="http://schemas.openxmlformats.org/officeDocument/2006/relationships/image" Target="../media/image217.tmp"/><Relationship Id="rId259" Type="http://schemas.openxmlformats.org/officeDocument/2006/relationships/image" Target="../media/image259.tmp"/><Relationship Id="rId23" Type="http://schemas.openxmlformats.org/officeDocument/2006/relationships/image" Target="../media/image23.tmp"/><Relationship Id="rId119" Type="http://schemas.openxmlformats.org/officeDocument/2006/relationships/image" Target="../media/image119.tmp"/><Relationship Id="rId270" Type="http://schemas.openxmlformats.org/officeDocument/2006/relationships/image" Target="../media/image270.tmp"/><Relationship Id="rId326" Type="http://schemas.openxmlformats.org/officeDocument/2006/relationships/image" Target="../media/image326.tmp"/><Relationship Id="rId65" Type="http://schemas.openxmlformats.org/officeDocument/2006/relationships/image" Target="../media/image65.tmp"/><Relationship Id="rId130" Type="http://schemas.openxmlformats.org/officeDocument/2006/relationships/image" Target="../media/image130.tmp"/><Relationship Id="rId172" Type="http://schemas.openxmlformats.org/officeDocument/2006/relationships/image" Target="../media/image172.tmp"/><Relationship Id="rId228" Type="http://schemas.openxmlformats.org/officeDocument/2006/relationships/image" Target="../media/image228.tmp"/><Relationship Id="rId281" Type="http://schemas.openxmlformats.org/officeDocument/2006/relationships/image" Target="../media/image281.tmp"/><Relationship Id="rId337" Type="http://schemas.openxmlformats.org/officeDocument/2006/relationships/image" Target="../media/image337.tmp"/><Relationship Id="rId34" Type="http://schemas.openxmlformats.org/officeDocument/2006/relationships/image" Target="../media/image34.tmp"/><Relationship Id="rId76" Type="http://schemas.openxmlformats.org/officeDocument/2006/relationships/image" Target="../media/image76.tmp"/><Relationship Id="rId141" Type="http://schemas.openxmlformats.org/officeDocument/2006/relationships/image" Target="../media/image141.tmp"/><Relationship Id="rId7" Type="http://schemas.openxmlformats.org/officeDocument/2006/relationships/image" Target="../media/image7.tmp"/><Relationship Id="rId183" Type="http://schemas.openxmlformats.org/officeDocument/2006/relationships/image" Target="../media/image183.tmp"/><Relationship Id="rId239" Type="http://schemas.openxmlformats.org/officeDocument/2006/relationships/image" Target="../media/image239.tmp"/><Relationship Id="rId250" Type="http://schemas.openxmlformats.org/officeDocument/2006/relationships/image" Target="../media/image250.tmp"/><Relationship Id="rId292" Type="http://schemas.openxmlformats.org/officeDocument/2006/relationships/image" Target="../media/image292.tmp"/><Relationship Id="rId306" Type="http://schemas.openxmlformats.org/officeDocument/2006/relationships/image" Target="../media/image306.tmp"/><Relationship Id="rId45" Type="http://schemas.openxmlformats.org/officeDocument/2006/relationships/image" Target="../media/image45.tmp"/><Relationship Id="rId87" Type="http://schemas.openxmlformats.org/officeDocument/2006/relationships/image" Target="../media/image87.tmp"/><Relationship Id="rId110" Type="http://schemas.openxmlformats.org/officeDocument/2006/relationships/image" Target="../media/image110.tmp"/><Relationship Id="rId348" Type="http://schemas.openxmlformats.org/officeDocument/2006/relationships/image" Target="../media/image348.tmp"/><Relationship Id="rId152" Type="http://schemas.openxmlformats.org/officeDocument/2006/relationships/image" Target="../media/image152.tmp"/><Relationship Id="rId194" Type="http://schemas.openxmlformats.org/officeDocument/2006/relationships/image" Target="../media/image194.tmp"/><Relationship Id="rId208" Type="http://schemas.openxmlformats.org/officeDocument/2006/relationships/image" Target="../media/image208.tmp"/><Relationship Id="rId261" Type="http://schemas.openxmlformats.org/officeDocument/2006/relationships/image" Target="../media/image261.tmp"/><Relationship Id="rId14" Type="http://schemas.openxmlformats.org/officeDocument/2006/relationships/image" Target="../media/image14.tmp"/><Relationship Id="rId56" Type="http://schemas.openxmlformats.org/officeDocument/2006/relationships/image" Target="../media/image56.tmp"/><Relationship Id="rId317" Type="http://schemas.openxmlformats.org/officeDocument/2006/relationships/image" Target="../media/image317.tmp"/><Relationship Id="rId359" Type="http://schemas.openxmlformats.org/officeDocument/2006/relationships/image" Target="../media/image359.tmp"/><Relationship Id="rId98" Type="http://schemas.openxmlformats.org/officeDocument/2006/relationships/image" Target="../media/image98.tmp"/><Relationship Id="rId121" Type="http://schemas.openxmlformats.org/officeDocument/2006/relationships/image" Target="../media/image121.tmp"/><Relationship Id="rId163" Type="http://schemas.openxmlformats.org/officeDocument/2006/relationships/image" Target="../media/image163.tmp"/><Relationship Id="rId219" Type="http://schemas.openxmlformats.org/officeDocument/2006/relationships/image" Target="../media/image219.tmp"/><Relationship Id="rId230" Type="http://schemas.openxmlformats.org/officeDocument/2006/relationships/image" Target="../media/image230.tmp"/><Relationship Id="rId25" Type="http://schemas.openxmlformats.org/officeDocument/2006/relationships/image" Target="../media/image25.tmp"/><Relationship Id="rId67" Type="http://schemas.openxmlformats.org/officeDocument/2006/relationships/image" Target="../media/image67.tmp"/><Relationship Id="rId272" Type="http://schemas.openxmlformats.org/officeDocument/2006/relationships/image" Target="../media/image272.tmp"/><Relationship Id="rId328" Type="http://schemas.openxmlformats.org/officeDocument/2006/relationships/image" Target="../media/image328.tmp"/><Relationship Id="rId132" Type="http://schemas.openxmlformats.org/officeDocument/2006/relationships/image" Target="../media/image132.tmp"/><Relationship Id="rId174" Type="http://schemas.openxmlformats.org/officeDocument/2006/relationships/image" Target="../media/image174.tmp"/><Relationship Id="rId220" Type="http://schemas.openxmlformats.org/officeDocument/2006/relationships/image" Target="../media/image220.tmp"/><Relationship Id="rId241" Type="http://schemas.openxmlformats.org/officeDocument/2006/relationships/image" Target="../media/image241.tmp"/><Relationship Id="rId15" Type="http://schemas.openxmlformats.org/officeDocument/2006/relationships/image" Target="../media/image15.tmp"/><Relationship Id="rId36" Type="http://schemas.openxmlformats.org/officeDocument/2006/relationships/image" Target="../media/image36.tmp"/><Relationship Id="rId57" Type="http://schemas.openxmlformats.org/officeDocument/2006/relationships/image" Target="../media/image57.tmp"/><Relationship Id="rId262" Type="http://schemas.openxmlformats.org/officeDocument/2006/relationships/image" Target="../media/image262.tmp"/><Relationship Id="rId283" Type="http://schemas.openxmlformats.org/officeDocument/2006/relationships/image" Target="../media/image283.tmp"/><Relationship Id="rId318" Type="http://schemas.openxmlformats.org/officeDocument/2006/relationships/image" Target="../media/image318.tmp"/><Relationship Id="rId339" Type="http://schemas.openxmlformats.org/officeDocument/2006/relationships/image" Target="../media/image339.tmp"/><Relationship Id="rId78" Type="http://schemas.openxmlformats.org/officeDocument/2006/relationships/image" Target="../media/image78.tmp"/><Relationship Id="rId99" Type="http://schemas.openxmlformats.org/officeDocument/2006/relationships/image" Target="../media/image99.tmp"/><Relationship Id="rId101" Type="http://schemas.openxmlformats.org/officeDocument/2006/relationships/image" Target="../media/image101.tmp"/><Relationship Id="rId122" Type="http://schemas.openxmlformats.org/officeDocument/2006/relationships/image" Target="../media/image122.tmp"/><Relationship Id="rId143" Type="http://schemas.openxmlformats.org/officeDocument/2006/relationships/image" Target="../media/image143.tmp"/><Relationship Id="rId164" Type="http://schemas.openxmlformats.org/officeDocument/2006/relationships/image" Target="../media/image164.tmp"/><Relationship Id="rId185" Type="http://schemas.openxmlformats.org/officeDocument/2006/relationships/image" Target="../media/image185.tmp"/><Relationship Id="rId350" Type="http://schemas.openxmlformats.org/officeDocument/2006/relationships/image" Target="../media/image350.tmp"/><Relationship Id="rId9" Type="http://schemas.openxmlformats.org/officeDocument/2006/relationships/image" Target="../media/image9.tmp"/><Relationship Id="rId210" Type="http://schemas.openxmlformats.org/officeDocument/2006/relationships/image" Target="../media/image210.tmp"/><Relationship Id="rId26" Type="http://schemas.openxmlformats.org/officeDocument/2006/relationships/image" Target="../media/image26.tmp"/><Relationship Id="rId231" Type="http://schemas.openxmlformats.org/officeDocument/2006/relationships/image" Target="../media/image231.tmp"/><Relationship Id="rId252" Type="http://schemas.openxmlformats.org/officeDocument/2006/relationships/image" Target="../media/image252.tmp"/><Relationship Id="rId273" Type="http://schemas.openxmlformats.org/officeDocument/2006/relationships/image" Target="../media/image273.tmp"/><Relationship Id="rId294" Type="http://schemas.openxmlformats.org/officeDocument/2006/relationships/image" Target="../media/image294.tmp"/><Relationship Id="rId308" Type="http://schemas.openxmlformats.org/officeDocument/2006/relationships/image" Target="../media/image308.tmp"/><Relationship Id="rId329" Type="http://schemas.openxmlformats.org/officeDocument/2006/relationships/image" Target="../media/image329.tmp"/><Relationship Id="rId47" Type="http://schemas.openxmlformats.org/officeDocument/2006/relationships/image" Target="../media/image47.tmp"/><Relationship Id="rId68" Type="http://schemas.openxmlformats.org/officeDocument/2006/relationships/image" Target="../media/image68.tmp"/><Relationship Id="rId89" Type="http://schemas.openxmlformats.org/officeDocument/2006/relationships/image" Target="../media/image89.tmp"/><Relationship Id="rId112" Type="http://schemas.openxmlformats.org/officeDocument/2006/relationships/image" Target="../media/image112.tmp"/><Relationship Id="rId133" Type="http://schemas.openxmlformats.org/officeDocument/2006/relationships/image" Target="../media/image133.tmp"/><Relationship Id="rId154" Type="http://schemas.openxmlformats.org/officeDocument/2006/relationships/image" Target="../media/image154.tmp"/><Relationship Id="rId175" Type="http://schemas.openxmlformats.org/officeDocument/2006/relationships/image" Target="../media/image175.tmp"/><Relationship Id="rId340" Type="http://schemas.openxmlformats.org/officeDocument/2006/relationships/image" Target="../media/image340.tmp"/><Relationship Id="rId361" Type="http://schemas.openxmlformats.org/officeDocument/2006/relationships/image" Target="../media/image361.tmp"/><Relationship Id="rId196" Type="http://schemas.openxmlformats.org/officeDocument/2006/relationships/image" Target="../media/image196.tmp"/><Relationship Id="rId200" Type="http://schemas.openxmlformats.org/officeDocument/2006/relationships/image" Target="../media/image200.tmp"/><Relationship Id="rId16" Type="http://schemas.openxmlformats.org/officeDocument/2006/relationships/image" Target="../media/image16.tmp"/><Relationship Id="rId221" Type="http://schemas.openxmlformats.org/officeDocument/2006/relationships/image" Target="../media/image221.tmp"/><Relationship Id="rId242" Type="http://schemas.openxmlformats.org/officeDocument/2006/relationships/image" Target="../media/image242.tmp"/><Relationship Id="rId263" Type="http://schemas.openxmlformats.org/officeDocument/2006/relationships/image" Target="../media/image263.tmp"/><Relationship Id="rId284" Type="http://schemas.openxmlformats.org/officeDocument/2006/relationships/image" Target="../media/image284.tmp"/><Relationship Id="rId319" Type="http://schemas.openxmlformats.org/officeDocument/2006/relationships/image" Target="../media/image319.tmp"/><Relationship Id="rId37" Type="http://schemas.openxmlformats.org/officeDocument/2006/relationships/image" Target="../media/image37.tmp"/><Relationship Id="rId58" Type="http://schemas.openxmlformats.org/officeDocument/2006/relationships/image" Target="../media/image58.tmp"/><Relationship Id="rId79" Type="http://schemas.openxmlformats.org/officeDocument/2006/relationships/image" Target="../media/image79.tmp"/><Relationship Id="rId102" Type="http://schemas.openxmlformats.org/officeDocument/2006/relationships/image" Target="../media/image102.tmp"/><Relationship Id="rId123" Type="http://schemas.openxmlformats.org/officeDocument/2006/relationships/image" Target="../media/image123.tmp"/><Relationship Id="rId144" Type="http://schemas.openxmlformats.org/officeDocument/2006/relationships/image" Target="../media/image144.tmp"/><Relationship Id="rId330" Type="http://schemas.openxmlformats.org/officeDocument/2006/relationships/image" Target="../media/image330.tmp"/><Relationship Id="rId90" Type="http://schemas.openxmlformats.org/officeDocument/2006/relationships/image" Target="../media/image90.tmp"/><Relationship Id="rId165" Type="http://schemas.openxmlformats.org/officeDocument/2006/relationships/image" Target="../media/image165.tmp"/><Relationship Id="rId186" Type="http://schemas.openxmlformats.org/officeDocument/2006/relationships/image" Target="../media/image186.tmp"/><Relationship Id="rId351" Type="http://schemas.openxmlformats.org/officeDocument/2006/relationships/image" Target="../media/image351.tmp"/><Relationship Id="rId211" Type="http://schemas.openxmlformats.org/officeDocument/2006/relationships/image" Target="../media/image211.tmp"/><Relationship Id="rId232" Type="http://schemas.openxmlformats.org/officeDocument/2006/relationships/image" Target="../media/image232.tmp"/><Relationship Id="rId253" Type="http://schemas.openxmlformats.org/officeDocument/2006/relationships/image" Target="../media/image253.tmp"/><Relationship Id="rId274" Type="http://schemas.openxmlformats.org/officeDocument/2006/relationships/image" Target="../media/image274.tmp"/><Relationship Id="rId295" Type="http://schemas.openxmlformats.org/officeDocument/2006/relationships/image" Target="../media/image295.tmp"/><Relationship Id="rId309" Type="http://schemas.openxmlformats.org/officeDocument/2006/relationships/image" Target="../media/image309.tmp"/><Relationship Id="rId27" Type="http://schemas.openxmlformats.org/officeDocument/2006/relationships/image" Target="../media/image27.tmp"/><Relationship Id="rId48" Type="http://schemas.openxmlformats.org/officeDocument/2006/relationships/image" Target="../media/image48.tmp"/><Relationship Id="rId69" Type="http://schemas.openxmlformats.org/officeDocument/2006/relationships/image" Target="../media/image69.tmp"/><Relationship Id="rId113" Type="http://schemas.openxmlformats.org/officeDocument/2006/relationships/image" Target="../media/image113.tmp"/><Relationship Id="rId134" Type="http://schemas.openxmlformats.org/officeDocument/2006/relationships/image" Target="../media/image134.tmp"/><Relationship Id="rId320" Type="http://schemas.openxmlformats.org/officeDocument/2006/relationships/image" Target="../media/image320.tmp"/><Relationship Id="rId80" Type="http://schemas.openxmlformats.org/officeDocument/2006/relationships/image" Target="../media/image80.tmp"/><Relationship Id="rId155" Type="http://schemas.openxmlformats.org/officeDocument/2006/relationships/image" Target="../media/image155.tmp"/><Relationship Id="rId176" Type="http://schemas.openxmlformats.org/officeDocument/2006/relationships/image" Target="../media/image176.tmp"/><Relationship Id="rId197" Type="http://schemas.openxmlformats.org/officeDocument/2006/relationships/image" Target="../media/image197.tmp"/><Relationship Id="rId341" Type="http://schemas.openxmlformats.org/officeDocument/2006/relationships/image" Target="../media/image341.tmp"/><Relationship Id="rId362" Type="http://schemas.openxmlformats.org/officeDocument/2006/relationships/image" Target="../media/image362.tmp"/><Relationship Id="rId201" Type="http://schemas.openxmlformats.org/officeDocument/2006/relationships/image" Target="../media/image201.tmp"/><Relationship Id="rId222" Type="http://schemas.openxmlformats.org/officeDocument/2006/relationships/image" Target="../media/image222.tmp"/><Relationship Id="rId243" Type="http://schemas.openxmlformats.org/officeDocument/2006/relationships/image" Target="../media/image243.tmp"/><Relationship Id="rId264" Type="http://schemas.openxmlformats.org/officeDocument/2006/relationships/image" Target="../media/image264.tmp"/><Relationship Id="rId285" Type="http://schemas.openxmlformats.org/officeDocument/2006/relationships/image" Target="../media/image285.tmp"/><Relationship Id="rId17" Type="http://schemas.openxmlformats.org/officeDocument/2006/relationships/image" Target="../media/image17.tmp"/><Relationship Id="rId38" Type="http://schemas.openxmlformats.org/officeDocument/2006/relationships/image" Target="../media/image38.tmp"/><Relationship Id="rId59" Type="http://schemas.openxmlformats.org/officeDocument/2006/relationships/image" Target="../media/image59.tmp"/><Relationship Id="rId103" Type="http://schemas.openxmlformats.org/officeDocument/2006/relationships/image" Target="../media/image103.tmp"/><Relationship Id="rId124" Type="http://schemas.openxmlformats.org/officeDocument/2006/relationships/image" Target="../media/image124.tmp"/><Relationship Id="rId310" Type="http://schemas.openxmlformats.org/officeDocument/2006/relationships/image" Target="../media/image310.tmp"/><Relationship Id="rId70" Type="http://schemas.openxmlformats.org/officeDocument/2006/relationships/image" Target="../media/image70.tmp"/><Relationship Id="rId91" Type="http://schemas.openxmlformats.org/officeDocument/2006/relationships/image" Target="../media/image91.tmp"/><Relationship Id="rId145" Type="http://schemas.openxmlformats.org/officeDocument/2006/relationships/image" Target="../media/image145.tmp"/><Relationship Id="rId166" Type="http://schemas.openxmlformats.org/officeDocument/2006/relationships/image" Target="../media/image166.tmp"/><Relationship Id="rId187" Type="http://schemas.openxmlformats.org/officeDocument/2006/relationships/image" Target="../media/image187.tmp"/><Relationship Id="rId331" Type="http://schemas.openxmlformats.org/officeDocument/2006/relationships/image" Target="../media/image331.tmp"/><Relationship Id="rId352" Type="http://schemas.openxmlformats.org/officeDocument/2006/relationships/image" Target="../media/image352.tmp"/><Relationship Id="rId1" Type="http://schemas.openxmlformats.org/officeDocument/2006/relationships/image" Target="../media/image1.tmp"/><Relationship Id="rId212" Type="http://schemas.openxmlformats.org/officeDocument/2006/relationships/image" Target="../media/image212.tmp"/><Relationship Id="rId233" Type="http://schemas.openxmlformats.org/officeDocument/2006/relationships/image" Target="../media/image233.tmp"/><Relationship Id="rId254" Type="http://schemas.openxmlformats.org/officeDocument/2006/relationships/image" Target="../media/image254.tmp"/><Relationship Id="rId28" Type="http://schemas.openxmlformats.org/officeDocument/2006/relationships/image" Target="../media/image28.tmp"/><Relationship Id="rId49" Type="http://schemas.openxmlformats.org/officeDocument/2006/relationships/image" Target="../media/image49.tmp"/><Relationship Id="rId114" Type="http://schemas.openxmlformats.org/officeDocument/2006/relationships/image" Target="../media/image114.tmp"/><Relationship Id="rId275" Type="http://schemas.openxmlformats.org/officeDocument/2006/relationships/image" Target="../media/image275.tmp"/><Relationship Id="rId296" Type="http://schemas.openxmlformats.org/officeDocument/2006/relationships/image" Target="../media/image296.tmp"/><Relationship Id="rId300" Type="http://schemas.openxmlformats.org/officeDocument/2006/relationships/image" Target="../media/image300.tmp"/><Relationship Id="rId60" Type="http://schemas.openxmlformats.org/officeDocument/2006/relationships/image" Target="../media/image60.tmp"/><Relationship Id="rId81" Type="http://schemas.openxmlformats.org/officeDocument/2006/relationships/image" Target="../media/image81.tmp"/><Relationship Id="rId135" Type="http://schemas.openxmlformats.org/officeDocument/2006/relationships/image" Target="../media/image135.tmp"/><Relationship Id="rId156" Type="http://schemas.openxmlformats.org/officeDocument/2006/relationships/image" Target="../media/image156.tmp"/><Relationship Id="rId177" Type="http://schemas.openxmlformats.org/officeDocument/2006/relationships/image" Target="../media/image177.tmp"/><Relationship Id="rId198" Type="http://schemas.openxmlformats.org/officeDocument/2006/relationships/image" Target="../media/image198.tmp"/><Relationship Id="rId321" Type="http://schemas.openxmlformats.org/officeDocument/2006/relationships/image" Target="../media/image321.tmp"/><Relationship Id="rId342" Type="http://schemas.openxmlformats.org/officeDocument/2006/relationships/image" Target="../media/image342.tmp"/><Relationship Id="rId363" Type="http://schemas.openxmlformats.org/officeDocument/2006/relationships/image" Target="../media/image363.tmp"/><Relationship Id="rId202" Type="http://schemas.openxmlformats.org/officeDocument/2006/relationships/image" Target="../media/image202.tmp"/><Relationship Id="rId223" Type="http://schemas.openxmlformats.org/officeDocument/2006/relationships/image" Target="../media/image223.tmp"/><Relationship Id="rId244" Type="http://schemas.openxmlformats.org/officeDocument/2006/relationships/image" Target="../media/image244.tmp"/><Relationship Id="rId18" Type="http://schemas.openxmlformats.org/officeDocument/2006/relationships/image" Target="../media/image18.tmp"/><Relationship Id="rId39" Type="http://schemas.openxmlformats.org/officeDocument/2006/relationships/image" Target="../media/image39.tmp"/><Relationship Id="rId265" Type="http://schemas.openxmlformats.org/officeDocument/2006/relationships/image" Target="../media/image265.tmp"/><Relationship Id="rId286" Type="http://schemas.openxmlformats.org/officeDocument/2006/relationships/image" Target="../media/image286.tmp"/><Relationship Id="rId50" Type="http://schemas.openxmlformats.org/officeDocument/2006/relationships/image" Target="../media/image50.tmp"/><Relationship Id="rId104" Type="http://schemas.openxmlformats.org/officeDocument/2006/relationships/image" Target="../media/image104.tmp"/><Relationship Id="rId125" Type="http://schemas.openxmlformats.org/officeDocument/2006/relationships/image" Target="../media/image125.tmp"/><Relationship Id="rId146" Type="http://schemas.openxmlformats.org/officeDocument/2006/relationships/image" Target="../media/image146.tmp"/><Relationship Id="rId167" Type="http://schemas.openxmlformats.org/officeDocument/2006/relationships/image" Target="../media/image167.tmp"/><Relationship Id="rId188" Type="http://schemas.openxmlformats.org/officeDocument/2006/relationships/image" Target="../media/image188.tmp"/><Relationship Id="rId311" Type="http://schemas.openxmlformats.org/officeDocument/2006/relationships/image" Target="../media/image311.tmp"/><Relationship Id="rId332" Type="http://schemas.openxmlformats.org/officeDocument/2006/relationships/image" Target="../media/image332.tmp"/><Relationship Id="rId353" Type="http://schemas.openxmlformats.org/officeDocument/2006/relationships/image" Target="../media/image353.tmp"/><Relationship Id="rId71" Type="http://schemas.openxmlformats.org/officeDocument/2006/relationships/image" Target="../media/image71.tmp"/><Relationship Id="rId92" Type="http://schemas.openxmlformats.org/officeDocument/2006/relationships/image" Target="../media/image92.tmp"/><Relationship Id="rId213" Type="http://schemas.openxmlformats.org/officeDocument/2006/relationships/image" Target="../media/image213.tmp"/><Relationship Id="rId234" Type="http://schemas.openxmlformats.org/officeDocument/2006/relationships/image" Target="../media/image234.tmp"/><Relationship Id="rId2" Type="http://schemas.openxmlformats.org/officeDocument/2006/relationships/image" Target="../media/image2.tmp"/><Relationship Id="rId29" Type="http://schemas.openxmlformats.org/officeDocument/2006/relationships/image" Target="../media/image29.tmp"/><Relationship Id="rId255" Type="http://schemas.openxmlformats.org/officeDocument/2006/relationships/image" Target="../media/image255.tmp"/><Relationship Id="rId276" Type="http://schemas.openxmlformats.org/officeDocument/2006/relationships/image" Target="../media/image276.tmp"/><Relationship Id="rId297" Type="http://schemas.openxmlformats.org/officeDocument/2006/relationships/image" Target="../media/image297.tmp"/><Relationship Id="rId40" Type="http://schemas.openxmlformats.org/officeDocument/2006/relationships/image" Target="../media/image40.tmp"/><Relationship Id="rId115" Type="http://schemas.openxmlformats.org/officeDocument/2006/relationships/image" Target="../media/image115.tmp"/><Relationship Id="rId136" Type="http://schemas.openxmlformats.org/officeDocument/2006/relationships/image" Target="../media/image136.tmp"/><Relationship Id="rId157" Type="http://schemas.openxmlformats.org/officeDocument/2006/relationships/image" Target="../media/image157.tmp"/><Relationship Id="rId178" Type="http://schemas.openxmlformats.org/officeDocument/2006/relationships/image" Target="../media/image178.tmp"/><Relationship Id="rId301" Type="http://schemas.openxmlformats.org/officeDocument/2006/relationships/image" Target="../media/image301.tmp"/><Relationship Id="rId322" Type="http://schemas.openxmlformats.org/officeDocument/2006/relationships/image" Target="../media/image322.tmp"/><Relationship Id="rId343" Type="http://schemas.openxmlformats.org/officeDocument/2006/relationships/image" Target="../media/image343.tmp"/><Relationship Id="rId364" Type="http://schemas.openxmlformats.org/officeDocument/2006/relationships/image" Target="../media/image364.tmp"/><Relationship Id="rId61" Type="http://schemas.openxmlformats.org/officeDocument/2006/relationships/image" Target="../media/image61.tmp"/><Relationship Id="rId82" Type="http://schemas.openxmlformats.org/officeDocument/2006/relationships/image" Target="../media/image82.tmp"/><Relationship Id="rId199" Type="http://schemas.openxmlformats.org/officeDocument/2006/relationships/image" Target="../media/image199.tmp"/><Relationship Id="rId203" Type="http://schemas.openxmlformats.org/officeDocument/2006/relationships/image" Target="../media/image203.tmp"/><Relationship Id="rId19" Type="http://schemas.openxmlformats.org/officeDocument/2006/relationships/image" Target="../media/image19.tmp"/><Relationship Id="rId224" Type="http://schemas.openxmlformats.org/officeDocument/2006/relationships/image" Target="../media/image224.tmp"/><Relationship Id="rId245" Type="http://schemas.openxmlformats.org/officeDocument/2006/relationships/image" Target="../media/image245.tmp"/><Relationship Id="rId266" Type="http://schemas.openxmlformats.org/officeDocument/2006/relationships/image" Target="../media/image266.tmp"/><Relationship Id="rId287" Type="http://schemas.openxmlformats.org/officeDocument/2006/relationships/image" Target="../media/image287.tmp"/><Relationship Id="rId30" Type="http://schemas.openxmlformats.org/officeDocument/2006/relationships/image" Target="../media/image30.tmp"/><Relationship Id="rId105" Type="http://schemas.openxmlformats.org/officeDocument/2006/relationships/image" Target="../media/image105.tmp"/><Relationship Id="rId126" Type="http://schemas.openxmlformats.org/officeDocument/2006/relationships/image" Target="../media/image126.tmp"/><Relationship Id="rId147" Type="http://schemas.openxmlformats.org/officeDocument/2006/relationships/image" Target="../media/image147.tmp"/><Relationship Id="rId168" Type="http://schemas.openxmlformats.org/officeDocument/2006/relationships/image" Target="../media/image168.tmp"/><Relationship Id="rId312" Type="http://schemas.openxmlformats.org/officeDocument/2006/relationships/image" Target="../media/image312.tmp"/><Relationship Id="rId333" Type="http://schemas.openxmlformats.org/officeDocument/2006/relationships/image" Target="../media/image333.tmp"/><Relationship Id="rId354" Type="http://schemas.openxmlformats.org/officeDocument/2006/relationships/image" Target="../media/image354.tmp"/><Relationship Id="rId51" Type="http://schemas.openxmlformats.org/officeDocument/2006/relationships/image" Target="../media/image51.tmp"/><Relationship Id="rId72" Type="http://schemas.openxmlformats.org/officeDocument/2006/relationships/image" Target="../media/image72.tmp"/><Relationship Id="rId93" Type="http://schemas.openxmlformats.org/officeDocument/2006/relationships/image" Target="../media/image93.tmp"/><Relationship Id="rId189" Type="http://schemas.openxmlformats.org/officeDocument/2006/relationships/image" Target="../media/image189.tmp"/><Relationship Id="rId3" Type="http://schemas.openxmlformats.org/officeDocument/2006/relationships/image" Target="../media/image3.tmp"/><Relationship Id="rId214" Type="http://schemas.openxmlformats.org/officeDocument/2006/relationships/image" Target="../media/image214.tmp"/><Relationship Id="rId235" Type="http://schemas.openxmlformats.org/officeDocument/2006/relationships/image" Target="../media/image235.tmp"/><Relationship Id="rId256" Type="http://schemas.openxmlformats.org/officeDocument/2006/relationships/image" Target="../media/image256.tmp"/><Relationship Id="rId277" Type="http://schemas.openxmlformats.org/officeDocument/2006/relationships/image" Target="../media/image277.tmp"/><Relationship Id="rId298" Type="http://schemas.openxmlformats.org/officeDocument/2006/relationships/image" Target="../media/image298.tmp"/><Relationship Id="rId116" Type="http://schemas.openxmlformats.org/officeDocument/2006/relationships/image" Target="../media/image116.tmp"/><Relationship Id="rId137" Type="http://schemas.openxmlformats.org/officeDocument/2006/relationships/image" Target="../media/image137.tmp"/><Relationship Id="rId158" Type="http://schemas.openxmlformats.org/officeDocument/2006/relationships/image" Target="../media/image158.tmp"/><Relationship Id="rId302" Type="http://schemas.openxmlformats.org/officeDocument/2006/relationships/image" Target="../media/image302.tmp"/><Relationship Id="rId323" Type="http://schemas.openxmlformats.org/officeDocument/2006/relationships/image" Target="../media/image323.tmp"/><Relationship Id="rId344" Type="http://schemas.openxmlformats.org/officeDocument/2006/relationships/image" Target="../media/image344.tmp"/><Relationship Id="rId20" Type="http://schemas.openxmlformats.org/officeDocument/2006/relationships/image" Target="../media/image20.tmp"/><Relationship Id="rId41" Type="http://schemas.openxmlformats.org/officeDocument/2006/relationships/image" Target="../media/image41.tmp"/><Relationship Id="rId62" Type="http://schemas.openxmlformats.org/officeDocument/2006/relationships/image" Target="../media/image62.tmp"/><Relationship Id="rId83" Type="http://schemas.openxmlformats.org/officeDocument/2006/relationships/image" Target="../media/image83.tmp"/><Relationship Id="rId179" Type="http://schemas.openxmlformats.org/officeDocument/2006/relationships/image" Target="../media/image179.tmp"/><Relationship Id="rId365" Type="http://schemas.openxmlformats.org/officeDocument/2006/relationships/image" Target="../media/image365.tmp"/><Relationship Id="rId190" Type="http://schemas.openxmlformats.org/officeDocument/2006/relationships/image" Target="../media/image190.tmp"/><Relationship Id="rId204" Type="http://schemas.openxmlformats.org/officeDocument/2006/relationships/image" Target="../media/image204.tmp"/><Relationship Id="rId225" Type="http://schemas.openxmlformats.org/officeDocument/2006/relationships/image" Target="../media/image225.tmp"/><Relationship Id="rId246" Type="http://schemas.openxmlformats.org/officeDocument/2006/relationships/image" Target="../media/image246.tmp"/><Relationship Id="rId267" Type="http://schemas.openxmlformats.org/officeDocument/2006/relationships/image" Target="../media/image267.tmp"/><Relationship Id="rId288" Type="http://schemas.openxmlformats.org/officeDocument/2006/relationships/image" Target="../media/image288.tmp"/><Relationship Id="rId106" Type="http://schemas.openxmlformats.org/officeDocument/2006/relationships/image" Target="../media/image106.tmp"/><Relationship Id="rId127" Type="http://schemas.openxmlformats.org/officeDocument/2006/relationships/image" Target="../media/image127.tmp"/><Relationship Id="rId313" Type="http://schemas.openxmlformats.org/officeDocument/2006/relationships/image" Target="../media/image313.tmp"/><Relationship Id="rId10" Type="http://schemas.openxmlformats.org/officeDocument/2006/relationships/image" Target="../media/image10.tmp"/><Relationship Id="rId31" Type="http://schemas.openxmlformats.org/officeDocument/2006/relationships/image" Target="../media/image31.tmp"/><Relationship Id="rId52" Type="http://schemas.openxmlformats.org/officeDocument/2006/relationships/image" Target="../media/image52.tmp"/><Relationship Id="rId73" Type="http://schemas.openxmlformats.org/officeDocument/2006/relationships/image" Target="../media/image73.tmp"/><Relationship Id="rId94" Type="http://schemas.openxmlformats.org/officeDocument/2006/relationships/image" Target="../media/image94.tmp"/><Relationship Id="rId148" Type="http://schemas.openxmlformats.org/officeDocument/2006/relationships/image" Target="../media/image148.tmp"/><Relationship Id="rId169" Type="http://schemas.openxmlformats.org/officeDocument/2006/relationships/image" Target="../media/image169.tmp"/><Relationship Id="rId334" Type="http://schemas.openxmlformats.org/officeDocument/2006/relationships/image" Target="../media/image334.tmp"/><Relationship Id="rId355" Type="http://schemas.openxmlformats.org/officeDocument/2006/relationships/image" Target="../media/image355.tmp"/><Relationship Id="rId4" Type="http://schemas.openxmlformats.org/officeDocument/2006/relationships/image" Target="../media/image4.tmp"/><Relationship Id="rId180" Type="http://schemas.openxmlformats.org/officeDocument/2006/relationships/image" Target="../media/image180.tmp"/><Relationship Id="rId215" Type="http://schemas.openxmlformats.org/officeDocument/2006/relationships/image" Target="../media/image215.tmp"/><Relationship Id="rId236" Type="http://schemas.openxmlformats.org/officeDocument/2006/relationships/image" Target="../media/image236.tmp"/><Relationship Id="rId257" Type="http://schemas.openxmlformats.org/officeDocument/2006/relationships/image" Target="../media/image257.tmp"/><Relationship Id="rId278" Type="http://schemas.openxmlformats.org/officeDocument/2006/relationships/image" Target="../media/image278.tmp"/><Relationship Id="rId303" Type="http://schemas.openxmlformats.org/officeDocument/2006/relationships/image" Target="../media/image303.tmp"/><Relationship Id="rId42" Type="http://schemas.openxmlformats.org/officeDocument/2006/relationships/image" Target="../media/image42.tmp"/><Relationship Id="rId84" Type="http://schemas.openxmlformats.org/officeDocument/2006/relationships/image" Target="../media/image84.tmp"/><Relationship Id="rId138" Type="http://schemas.openxmlformats.org/officeDocument/2006/relationships/image" Target="../media/image138.tmp"/><Relationship Id="rId345" Type="http://schemas.openxmlformats.org/officeDocument/2006/relationships/image" Target="../media/image345.tmp"/><Relationship Id="rId191" Type="http://schemas.openxmlformats.org/officeDocument/2006/relationships/image" Target="../media/image191.tmp"/><Relationship Id="rId205" Type="http://schemas.openxmlformats.org/officeDocument/2006/relationships/image" Target="../media/image205.tmp"/><Relationship Id="rId247" Type="http://schemas.openxmlformats.org/officeDocument/2006/relationships/image" Target="../media/image247.tmp"/><Relationship Id="rId107" Type="http://schemas.openxmlformats.org/officeDocument/2006/relationships/image" Target="../media/image107.tmp"/><Relationship Id="rId289" Type="http://schemas.openxmlformats.org/officeDocument/2006/relationships/image" Target="../media/image289.tmp"/><Relationship Id="rId11" Type="http://schemas.openxmlformats.org/officeDocument/2006/relationships/image" Target="../media/image11.tmp"/><Relationship Id="rId53" Type="http://schemas.openxmlformats.org/officeDocument/2006/relationships/image" Target="../media/image53.tmp"/><Relationship Id="rId149" Type="http://schemas.openxmlformats.org/officeDocument/2006/relationships/image" Target="../media/image149.tmp"/><Relationship Id="rId314" Type="http://schemas.openxmlformats.org/officeDocument/2006/relationships/image" Target="../media/image314.tmp"/><Relationship Id="rId356" Type="http://schemas.openxmlformats.org/officeDocument/2006/relationships/image" Target="../media/image356.tmp"/><Relationship Id="rId95" Type="http://schemas.openxmlformats.org/officeDocument/2006/relationships/image" Target="../media/image95.tmp"/><Relationship Id="rId160" Type="http://schemas.openxmlformats.org/officeDocument/2006/relationships/image" Target="../media/image160.tmp"/><Relationship Id="rId216" Type="http://schemas.openxmlformats.org/officeDocument/2006/relationships/image" Target="../media/image216.tmp"/><Relationship Id="rId258" Type="http://schemas.openxmlformats.org/officeDocument/2006/relationships/image" Target="../media/image258.tmp"/><Relationship Id="rId22" Type="http://schemas.openxmlformats.org/officeDocument/2006/relationships/image" Target="../media/image22.tmp"/><Relationship Id="rId64" Type="http://schemas.openxmlformats.org/officeDocument/2006/relationships/image" Target="../media/image64.tmp"/><Relationship Id="rId118" Type="http://schemas.openxmlformats.org/officeDocument/2006/relationships/image" Target="../media/image118.tmp"/><Relationship Id="rId325" Type="http://schemas.openxmlformats.org/officeDocument/2006/relationships/image" Target="../media/image325.tmp"/><Relationship Id="rId171" Type="http://schemas.openxmlformats.org/officeDocument/2006/relationships/image" Target="../media/image171.tmp"/><Relationship Id="rId227" Type="http://schemas.openxmlformats.org/officeDocument/2006/relationships/image" Target="../media/image227.tmp"/><Relationship Id="rId269" Type="http://schemas.openxmlformats.org/officeDocument/2006/relationships/image" Target="../media/image269.tmp"/><Relationship Id="rId33" Type="http://schemas.openxmlformats.org/officeDocument/2006/relationships/image" Target="../media/image33.tmp"/><Relationship Id="rId129" Type="http://schemas.openxmlformats.org/officeDocument/2006/relationships/image" Target="../media/image129.tmp"/><Relationship Id="rId280" Type="http://schemas.openxmlformats.org/officeDocument/2006/relationships/image" Target="../media/image280.tmp"/><Relationship Id="rId336" Type="http://schemas.openxmlformats.org/officeDocument/2006/relationships/image" Target="../media/image336.tmp"/><Relationship Id="rId75" Type="http://schemas.openxmlformats.org/officeDocument/2006/relationships/image" Target="../media/image75.tmp"/><Relationship Id="rId140" Type="http://schemas.openxmlformats.org/officeDocument/2006/relationships/image" Target="../media/image140.tmp"/><Relationship Id="rId182" Type="http://schemas.openxmlformats.org/officeDocument/2006/relationships/image" Target="../media/image182.tmp"/><Relationship Id="rId6" Type="http://schemas.openxmlformats.org/officeDocument/2006/relationships/image" Target="../media/image6.tmp"/><Relationship Id="rId238" Type="http://schemas.openxmlformats.org/officeDocument/2006/relationships/image" Target="../media/image238.tmp"/><Relationship Id="rId291" Type="http://schemas.openxmlformats.org/officeDocument/2006/relationships/image" Target="../media/image291.tmp"/><Relationship Id="rId305" Type="http://schemas.openxmlformats.org/officeDocument/2006/relationships/image" Target="../media/image305.tmp"/><Relationship Id="rId347" Type="http://schemas.openxmlformats.org/officeDocument/2006/relationships/image" Target="../media/image347.tmp"/><Relationship Id="rId44" Type="http://schemas.openxmlformats.org/officeDocument/2006/relationships/image" Target="../media/image44.tmp"/><Relationship Id="rId86" Type="http://schemas.openxmlformats.org/officeDocument/2006/relationships/image" Target="../media/image86.tmp"/><Relationship Id="rId151" Type="http://schemas.openxmlformats.org/officeDocument/2006/relationships/image" Target="../media/image151.tmp"/><Relationship Id="rId193" Type="http://schemas.openxmlformats.org/officeDocument/2006/relationships/image" Target="../media/image193.tmp"/><Relationship Id="rId207" Type="http://schemas.openxmlformats.org/officeDocument/2006/relationships/image" Target="../media/image207.tmp"/><Relationship Id="rId249" Type="http://schemas.openxmlformats.org/officeDocument/2006/relationships/image" Target="../media/image249.tmp"/><Relationship Id="rId13" Type="http://schemas.openxmlformats.org/officeDocument/2006/relationships/image" Target="../media/image13.tmp"/><Relationship Id="rId109" Type="http://schemas.openxmlformats.org/officeDocument/2006/relationships/image" Target="../media/image109.tmp"/><Relationship Id="rId260" Type="http://schemas.openxmlformats.org/officeDocument/2006/relationships/image" Target="../media/image260.tmp"/><Relationship Id="rId316" Type="http://schemas.openxmlformats.org/officeDocument/2006/relationships/image" Target="../media/image316.tmp"/><Relationship Id="rId55" Type="http://schemas.openxmlformats.org/officeDocument/2006/relationships/image" Target="../media/image55.tmp"/><Relationship Id="rId97" Type="http://schemas.openxmlformats.org/officeDocument/2006/relationships/image" Target="../media/image97.tmp"/><Relationship Id="rId120" Type="http://schemas.openxmlformats.org/officeDocument/2006/relationships/image" Target="../media/image120.tmp"/><Relationship Id="rId358" Type="http://schemas.openxmlformats.org/officeDocument/2006/relationships/image" Target="../media/image358.tmp"/><Relationship Id="rId162" Type="http://schemas.openxmlformats.org/officeDocument/2006/relationships/image" Target="../media/image162.tmp"/><Relationship Id="rId218" Type="http://schemas.openxmlformats.org/officeDocument/2006/relationships/image" Target="../media/image218.tmp"/><Relationship Id="rId271" Type="http://schemas.openxmlformats.org/officeDocument/2006/relationships/image" Target="../media/image271.tmp"/><Relationship Id="rId24" Type="http://schemas.openxmlformats.org/officeDocument/2006/relationships/image" Target="../media/image24.tmp"/><Relationship Id="rId66" Type="http://schemas.openxmlformats.org/officeDocument/2006/relationships/image" Target="../media/image66.tmp"/><Relationship Id="rId131" Type="http://schemas.openxmlformats.org/officeDocument/2006/relationships/image" Target="../media/image131.tmp"/><Relationship Id="rId327" Type="http://schemas.openxmlformats.org/officeDocument/2006/relationships/image" Target="../media/image327.tmp"/><Relationship Id="rId173" Type="http://schemas.openxmlformats.org/officeDocument/2006/relationships/image" Target="../media/image173.tmp"/><Relationship Id="rId229" Type="http://schemas.openxmlformats.org/officeDocument/2006/relationships/image" Target="../media/image229.tmp"/><Relationship Id="rId240" Type="http://schemas.openxmlformats.org/officeDocument/2006/relationships/image" Target="../media/image240.tmp"/><Relationship Id="rId35" Type="http://schemas.openxmlformats.org/officeDocument/2006/relationships/image" Target="../media/image35.tmp"/><Relationship Id="rId77" Type="http://schemas.openxmlformats.org/officeDocument/2006/relationships/image" Target="../media/image77.tmp"/><Relationship Id="rId100" Type="http://schemas.openxmlformats.org/officeDocument/2006/relationships/image" Target="../media/image100.tmp"/><Relationship Id="rId282" Type="http://schemas.openxmlformats.org/officeDocument/2006/relationships/image" Target="../media/image282.tmp"/><Relationship Id="rId338" Type="http://schemas.openxmlformats.org/officeDocument/2006/relationships/image" Target="../media/image338.tmp"/><Relationship Id="rId8" Type="http://schemas.openxmlformats.org/officeDocument/2006/relationships/image" Target="../media/image8.tmp"/><Relationship Id="rId142" Type="http://schemas.openxmlformats.org/officeDocument/2006/relationships/image" Target="../media/image142.tmp"/><Relationship Id="rId184" Type="http://schemas.openxmlformats.org/officeDocument/2006/relationships/image" Target="../media/image184.tmp"/><Relationship Id="rId251" Type="http://schemas.openxmlformats.org/officeDocument/2006/relationships/image" Target="../media/image251.tmp"/><Relationship Id="rId46" Type="http://schemas.openxmlformats.org/officeDocument/2006/relationships/image" Target="../media/image46.tmp"/><Relationship Id="rId293" Type="http://schemas.openxmlformats.org/officeDocument/2006/relationships/image" Target="../media/image293.tmp"/><Relationship Id="rId307" Type="http://schemas.openxmlformats.org/officeDocument/2006/relationships/image" Target="../media/image307.tmp"/><Relationship Id="rId349" Type="http://schemas.openxmlformats.org/officeDocument/2006/relationships/image" Target="../media/image349.tmp"/><Relationship Id="rId88" Type="http://schemas.openxmlformats.org/officeDocument/2006/relationships/image" Target="../media/image88.tmp"/><Relationship Id="rId111" Type="http://schemas.openxmlformats.org/officeDocument/2006/relationships/image" Target="../media/image111.tmp"/><Relationship Id="rId153" Type="http://schemas.openxmlformats.org/officeDocument/2006/relationships/image" Target="../media/image153.tmp"/><Relationship Id="rId195" Type="http://schemas.openxmlformats.org/officeDocument/2006/relationships/image" Target="../media/image195.tmp"/><Relationship Id="rId209" Type="http://schemas.openxmlformats.org/officeDocument/2006/relationships/image" Target="../media/image209.tmp"/><Relationship Id="rId360" Type="http://schemas.openxmlformats.org/officeDocument/2006/relationships/image" Target="../media/image360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710803</xdr:colOff>
      <xdr:row>1</xdr:row>
      <xdr:rowOff>63103</xdr:rowOff>
    </xdr:from>
    <xdr:to>
      <xdr:col>0</xdr:col>
      <xdr:colOff>2067322</xdr:colOff>
      <xdr:row>1</xdr:row>
      <xdr:rowOff>844947</xdr:rowOff>
    </xdr:to>
    <xdr:pic>
      <xdr:nvPicPr>
        <xdr:cNvPr id="3" name="Picture 2" descr="Insight Picture 2">
          <a:extLst>
            <a:ext uri="{FF2B5EF4-FFF2-40B4-BE49-F238E27FC236}">
              <a16:creationId xmlns:a16="http://schemas.microsoft.com/office/drawing/2014/main" id="{55B8E62D-0E6F-D4C1-8357-E899694BD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803" y="225028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2</xdr:row>
      <xdr:rowOff>63103</xdr:rowOff>
    </xdr:from>
    <xdr:to>
      <xdr:col>0</xdr:col>
      <xdr:colOff>2067322</xdr:colOff>
      <xdr:row>2</xdr:row>
      <xdr:rowOff>844947</xdr:rowOff>
    </xdr:to>
    <xdr:pic>
      <xdr:nvPicPr>
        <xdr:cNvPr id="5" name="Picture 4" descr="Insight Picture 4">
          <a:extLst>
            <a:ext uri="{FF2B5EF4-FFF2-40B4-BE49-F238E27FC236}">
              <a16:creationId xmlns:a16="http://schemas.microsoft.com/office/drawing/2014/main" id="{842F3C15-5F13-B3D3-4F18-876EB823F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803" y="112990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539353</xdr:colOff>
      <xdr:row>3</xdr:row>
      <xdr:rowOff>63103</xdr:rowOff>
    </xdr:from>
    <xdr:to>
      <xdr:col>0</xdr:col>
      <xdr:colOff>2238772</xdr:colOff>
      <xdr:row>3</xdr:row>
      <xdr:rowOff>844947</xdr:rowOff>
    </xdr:to>
    <xdr:pic>
      <xdr:nvPicPr>
        <xdr:cNvPr id="7" name="Picture 6" descr="Insight Picture 6">
          <a:extLst>
            <a:ext uri="{FF2B5EF4-FFF2-40B4-BE49-F238E27FC236}">
              <a16:creationId xmlns:a16="http://schemas.microsoft.com/office/drawing/2014/main" id="{F10516FE-0D2F-3E18-CD15-701F5B42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353" y="2034778"/>
          <a:ext cx="16930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853678</xdr:colOff>
      <xdr:row>4</xdr:row>
      <xdr:rowOff>60722</xdr:rowOff>
    </xdr:from>
    <xdr:to>
      <xdr:col>0</xdr:col>
      <xdr:colOff>1911747</xdr:colOff>
      <xdr:row>4</xdr:row>
      <xdr:rowOff>1285478</xdr:rowOff>
    </xdr:to>
    <xdr:pic>
      <xdr:nvPicPr>
        <xdr:cNvPr id="9" name="Picture 8" descr="Insight Picture 8">
          <a:extLst>
            <a:ext uri="{FF2B5EF4-FFF2-40B4-BE49-F238E27FC236}">
              <a16:creationId xmlns:a16="http://schemas.microsoft.com/office/drawing/2014/main" id="{0A53B69A-8D62-71BC-22BC-8AB8DC756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678" y="2937272"/>
          <a:ext cx="10644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453628</xdr:colOff>
      <xdr:row>5</xdr:row>
      <xdr:rowOff>63103</xdr:rowOff>
    </xdr:from>
    <xdr:to>
      <xdr:col>0</xdr:col>
      <xdr:colOff>2311797</xdr:colOff>
      <xdr:row>5</xdr:row>
      <xdr:rowOff>1038622</xdr:rowOff>
    </xdr:to>
    <xdr:pic>
      <xdr:nvPicPr>
        <xdr:cNvPr id="11" name="Picture 10" descr="Insight Picture 10">
          <a:extLst>
            <a:ext uri="{FF2B5EF4-FFF2-40B4-BE49-F238E27FC236}">
              <a16:creationId xmlns:a16="http://schemas.microsoft.com/office/drawing/2014/main" id="{46DC3FF6-C267-42C5-DCE2-9E2238855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3628" y="4282678"/>
          <a:ext cx="1864519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6</xdr:row>
      <xdr:rowOff>63103</xdr:rowOff>
    </xdr:from>
    <xdr:to>
      <xdr:col>0</xdr:col>
      <xdr:colOff>2125266</xdr:colOff>
      <xdr:row>6</xdr:row>
      <xdr:rowOff>1038622</xdr:rowOff>
    </xdr:to>
    <xdr:pic>
      <xdr:nvPicPr>
        <xdr:cNvPr id="13" name="Picture 12" descr="Insight Picture 12">
          <a:extLst>
            <a:ext uri="{FF2B5EF4-FFF2-40B4-BE49-F238E27FC236}">
              <a16:creationId xmlns:a16="http://schemas.microsoft.com/office/drawing/2014/main" id="{FF852185-4E61-05D3-2D4F-993D7B85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6510" y="5387578"/>
          <a:ext cx="1478756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7</xdr:row>
      <xdr:rowOff>60722</xdr:rowOff>
    </xdr:from>
    <xdr:to>
      <xdr:col>0</xdr:col>
      <xdr:colOff>1950244</xdr:colOff>
      <xdr:row>7</xdr:row>
      <xdr:rowOff>1250553</xdr:rowOff>
    </xdr:to>
    <xdr:pic>
      <xdr:nvPicPr>
        <xdr:cNvPr id="15" name="Picture 14" descr="Insight Picture 14">
          <a:extLst>
            <a:ext uri="{FF2B5EF4-FFF2-40B4-BE49-F238E27FC236}">
              <a16:creationId xmlns:a16="http://schemas.microsoft.com/office/drawing/2014/main" id="{87ACBC6C-51E2-98C9-CEF7-D53CCB913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1531" y="6490097"/>
          <a:ext cx="1128713" cy="1193006"/>
        </a:xfrm>
        <a:prstGeom prst="rect">
          <a:avLst/>
        </a:prstGeom>
      </xdr:spPr>
    </xdr:pic>
    <xdr:clientData/>
  </xdr:twoCellAnchor>
  <xdr:twoCellAnchor editAs="oneCell">
    <xdr:from>
      <xdr:col>0</xdr:col>
      <xdr:colOff>900113</xdr:colOff>
      <xdr:row>8</xdr:row>
      <xdr:rowOff>59531</xdr:rowOff>
    </xdr:from>
    <xdr:to>
      <xdr:col>0</xdr:col>
      <xdr:colOff>1878013</xdr:colOff>
      <xdr:row>8</xdr:row>
      <xdr:rowOff>1045369</xdr:rowOff>
    </xdr:to>
    <xdr:pic>
      <xdr:nvPicPr>
        <xdr:cNvPr id="17" name="Picture 16" descr="Insight Picture 16">
          <a:extLst>
            <a:ext uri="{FF2B5EF4-FFF2-40B4-BE49-F238E27FC236}">
              <a16:creationId xmlns:a16="http://schemas.microsoft.com/office/drawing/2014/main" id="{810540EB-BAAB-6CB6-85FE-360D2178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0113" y="7803356"/>
          <a:ext cx="971550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9</xdr:row>
      <xdr:rowOff>60722</xdr:rowOff>
    </xdr:from>
    <xdr:to>
      <xdr:col>0</xdr:col>
      <xdr:colOff>2088753</xdr:colOff>
      <xdr:row>9</xdr:row>
      <xdr:rowOff>1285478</xdr:rowOff>
    </xdr:to>
    <xdr:pic>
      <xdr:nvPicPr>
        <xdr:cNvPr id="19" name="Picture 18" descr="Insight Picture 18">
          <a:extLst>
            <a:ext uri="{FF2B5EF4-FFF2-40B4-BE49-F238E27FC236}">
              <a16:creationId xmlns:a16="http://schemas.microsoft.com/office/drawing/2014/main" id="{738DE271-65B9-98A4-B6DA-FFBA6D235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9372" y="8909447"/>
          <a:ext cx="13930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10</xdr:row>
      <xdr:rowOff>63103</xdr:rowOff>
    </xdr:from>
    <xdr:to>
      <xdr:col>0</xdr:col>
      <xdr:colOff>2088753</xdr:colOff>
      <xdr:row>10</xdr:row>
      <xdr:rowOff>902097</xdr:rowOff>
    </xdr:to>
    <xdr:pic>
      <xdr:nvPicPr>
        <xdr:cNvPr id="21" name="Picture 20" descr="Insight Picture 20">
          <a:extLst>
            <a:ext uri="{FF2B5EF4-FFF2-40B4-BE49-F238E27FC236}">
              <a16:creationId xmlns:a16="http://schemas.microsoft.com/office/drawing/2014/main" id="{5F1375A0-73EE-C1A5-E65D-740B9AEE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9372" y="10254853"/>
          <a:ext cx="1393031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757238</xdr:colOff>
      <xdr:row>11</xdr:row>
      <xdr:rowOff>60722</xdr:rowOff>
    </xdr:from>
    <xdr:to>
      <xdr:col>0</xdr:col>
      <xdr:colOff>2008188</xdr:colOff>
      <xdr:row>11</xdr:row>
      <xdr:rowOff>1079103</xdr:rowOff>
    </xdr:to>
    <xdr:pic>
      <xdr:nvPicPr>
        <xdr:cNvPr id="23" name="Picture 22" descr="Insight Picture 22">
          <a:extLst>
            <a:ext uri="{FF2B5EF4-FFF2-40B4-BE49-F238E27FC236}">
              <a16:creationId xmlns:a16="http://schemas.microsoft.com/office/drawing/2014/main" id="{FD574673-AF73-18B1-DDC9-C6150B1B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57238" y="11214497"/>
          <a:ext cx="1257300" cy="1021556"/>
        </a:xfrm>
        <a:prstGeom prst="rect">
          <a:avLst/>
        </a:prstGeom>
      </xdr:spPr>
    </xdr:pic>
    <xdr:clientData/>
  </xdr:twoCellAnchor>
  <xdr:twoCellAnchor editAs="oneCell">
    <xdr:from>
      <xdr:col>0</xdr:col>
      <xdr:colOff>482203</xdr:colOff>
      <xdr:row>12</xdr:row>
      <xdr:rowOff>60722</xdr:rowOff>
    </xdr:from>
    <xdr:to>
      <xdr:col>0</xdr:col>
      <xdr:colOff>2295922</xdr:colOff>
      <xdr:row>12</xdr:row>
      <xdr:rowOff>1171178</xdr:rowOff>
    </xdr:to>
    <xdr:pic>
      <xdr:nvPicPr>
        <xdr:cNvPr id="25" name="Picture 24" descr="Insight Picture 24">
          <a:extLst>
            <a:ext uri="{FF2B5EF4-FFF2-40B4-BE49-F238E27FC236}">
              <a16:creationId xmlns:a16="http://schemas.microsoft.com/office/drawing/2014/main" id="{ACED6F48-54F0-AFF2-4848-0B8CC813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2203" y="12357497"/>
          <a:ext cx="1807369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13</xdr:row>
      <xdr:rowOff>63103</xdr:rowOff>
    </xdr:from>
    <xdr:to>
      <xdr:col>0</xdr:col>
      <xdr:colOff>1939925</xdr:colOff>
      <xdr:row>13</xdr:row>
      <xdr:rowOff>1038622</xdr:rowOff>
    </xdr:to>
    <xdr:pic>
      <xdr:nvPicPr>
        <xdr:cNvPr id="27" name="Picture 26" descr="Insight Picture 26">
          <a:extLst>
            <a:ext uri="{FF2B5EF4-FFF2-40B4-BE49-F238E27FC236}">
              <a16:creationId xmlns:a16="http://schemas.microsoft.com/office/drawing/2014/main" id="{4EB515E6-C2CB-3F87-4B4A-BC5DDA5DA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8675" y="13588603"/>
          <a:ext cx="1114425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14</xdr:row>
      <xdr:rowOff>63103</xdr:rowOff>
    </xdr:from>
    <xdr:to>
      <xdr:col>0</xdr:col>
      <xdr:colOff>1882775</xdr:colOff>
      <xdr:row>14</xdr:row>
      <xdr:rowOff>1038622</xdr:rowOff>
    </xdr:to>
    <xdr:pic>
      <xdr:nvPicPr>
        <xdr:cNvPr id="29" name="Picture 28" descr="Insight Picture 28">
          <a:extLst>
            <a:ext uri="{FF2B5EF4-FFF2-40B4-BE49-F238E27FC236}">
              <a16:creationId xmlns:a16="http://schemas.microsoft.com/office/drawing/2014/main" id="{442CF42A-E8CC-1F98-81A7-7CA33696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825" y="14693503"/>
          <a:ext cx="1000125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1150144</xdr:colOff>
      <xdr:row>15</xdr:row>
      <xdr:rowOff>63103</xdr:rowOff>
    </xdr:from>
    <xdr:to>
      <xdr:col>0</xdr:col>
      <xdr:colOff>1621632</xdr:colOff>
      <xdr:row>15</xdr:row>
      <xdr:rowOff>673497</xdr:rowOff>
    </xdr:to>
    <xdr:pic>
      <xdr:nvPicPr>
        <xdr:cNvPr id="31" name="Picture 30" descr="Insight Picture 30">
          <a:extLst>
            <a:ext uri="{FF2B5EF4-FFF2-40B4-BE49-F238E27FC236}">
              <a16:creationId xmlns:a16="http://schemas.microsoft.com/office/drawing/2014/main" id="{6BEB059D-344F-D795-2DE2-F9E82ABBF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50144" y="15798403"/>
          <a:ext cx="471488" cy="607219"/>
        </a:xfrm>
        <a:prstGeom prst="rect">
          <a:avLst/>
        </a:prstGeom>
      </xdr:spPr>
    </xdr:pic>
    <xdr:clientData/>
  </xdr:twoCellAnchor>
  <xdr:twoCellAnchor editAs="oneCell">
    <xdr:from>
      <xdr:col>0</xdr:col>
      <xdr:colOff>496491</xdr:colOff>
      <xdr:row>16</xdr:row>
      <xdr:rowOff>63103</xdr:rowOff>
    </xdr:from>
    <xdr:to>
      <xdr:col>0</xdr:col>
      <xdr:colOff>2275285</xdr:colOff>
      <xdr:row>16</xdr:row>
      <xdr:rowOff>902097</xdr:rowOff>
    </xdr:to>
    <xdr:pic>
      <xdr:nvPicPr>
        <xdr:cNvPr id="33" name="Picture 32" descr="Insight Picture 32">
          <a:extLst>
            <a:ext uri="{FF2B5EF4-FFF2-40B4-BE49-F238E27FC236}">
              <a16:creationId xmlns:a16="http://schemas.microsoft.com/office/drawing/2014/main" id="{EC1AA27F-6688-843E-2AEB-95F53FCF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6491" y="16531828"/>
          <a:ext cx="1778794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17</xdr:row>
      <xdr:rowOff>63103</xdr:rowOff>
    </xdr:from>
    <xdr:to>
      <xdr:col>0</xdr:col>
      <xdr:colOff>2054225</xdr:colOff>
      <xdr:row>17</xdr:row>
      <xdr:rowOff>810022</xdr:rowOff>
    </xdr:to>
    <xdr:pic>
      <xdr:nvPicPr>
        <xdr:cNvPr id="35" name="Picture 34" descr="Insight Picture 34">
          <a:extLst>
            <a:ext uri="{FF2B5EF4-FFF2-40B4-BE49-F238E27FC236}">
              <a16:creationId xmlns:a16="http://schemas.microsoft.com/office/drawing/2014/main" id="{B70E9A74-F317-6DCB-0DF1-572B4D1C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4375" y="17493853"/>
          <a:ext cx="1343025" cy="750094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18</xdr:row>
      <xdr:rowOff>61913</xdr:rowOff>
    </xdr:from>
    <xdr:to>
      <xdr:col>0</xdr:col>
      <xdr:colOff>2088753</xdr:colOff>
      <xdr:row>18</xdr:row>
      <xdr:rowOff>887413</xdr:rowOff>
    </xdr:to>
    <xdr:pic>
      <xdr:nvPicPr>
        <xdr:cNvPr id="37" name="Picture 36" descr="Insight Picture 36">
          <a:extLst>
            <a:ext uri="{FF2B5EF4-FFF2-40B4-BE49-F238E27FC236}">
              <a16:creationId xmlns:a16="http://schemas.microsoft.com/office/drawing/2014/main" id="{AB9E6B30-8999-18C3-0008-38B9217B7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9372" y="18368963"/>
          <a:ext cx="139303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19</xdr:row>
      <xdr:rowOff>63103</xdr:rowOff>
    </xdr:from>
    <xdr:to>
      <xdr:col>0</xdr:col>
      <xdr:colOff>2088753</xdr:colOff>
      <xdr:row>19</xdr:row>
      <xdr:rowOff>844947</xdr:rowOff>
    </xdr:to>
    <xdr:pic>
      <xdr:nvPicPr>
        <xdr:cNvPr id="39" name="Picture 38" descr="Insight Picture 38">
          <a:extLst>
            <a:ext uri="{FF2B5EF4-FFF2-40B4-BE49-F238E27FC236}">
              <a16:creationId xmlns:a16="http://schemas.microsoft.com/office/drawing/2014/main" id="{71A7FEC9-B10A-9623-31E5-037A9E55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9372" y="19322653"/>
          <a:ext cx="139303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20</xdr:row>
      <xdr:rowOff>63103</xdr:rowOff>
    </xdr:from>
    <xdr:to>
      <xdr:col>0</xdr:col>
      <xdr:colOff>2220913</xdr:colOff>
      <xdr:row>20</xdr:row>
      <xdr:rowOff>1016397</xdr:rowOff>
    </xdr:to>
    <xdr:pic>
      <xdr:nvPicPr>
        <xdr:cNvPr id="41" name="Picture 40" descr="Insight Picture 40">
          <a:extLst>
            <a:ext uri="{FF2B5EF4-FFF2-40B4-BE49-F238E27FC236}">
              <a16:creationId xmlns:a16="http://schemas.microsoft.com/office/drawing/2014/main" id="{7D9B159F-4A16-EA48-1E77-878438524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7213" y="20227528"/>
          <a:ext cx="1657350" cy="950119"/>
        </a:xfrm>
        <a:prstGeom prst="rect">
          <a:avLst/>
        </a:prstGeom>
      </xdr:spPr>
    </xdr:pic>
    <xdr:clientData/>
  </xdr:twoCellAnchor>
  <xdr:twoCellAnchor editAs="oneCell">
    <xdr:from>
      <xdr:col>0</xdr:col>
      <xdr:colOff>382191</xdr:colOff>
      <xdr:row>21</xdr:row>
      <xdr:rowOff>59531</xdr:rowOff>
    </xdr:from>
    <xdr:to>
      <xdr:col>0</xdr:col>
      <xdr:colOff>2389585</xdr:colOff>
      <xdr:row>21</xdr:row>
      <xdr:rowOff>1273969</xdr:rowOff>
    </xdr:to>
    <xdr:pic>
      <xdr:nvPicPr>
        <xdr:cNvPr id="43" name="Picture 42" descr="Insight Picture 42">
          <a:extLst>
            <a:ext uri="{FF2B5EF4-FFF2-40B4-BE49-F238E27FC236}">
              <a16:creationId xmlns:a16="http://schemas.microsoft.com/office/drawing/2014/main" id="{2133316B-2BA8-4B08-3A95-5D78B5990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2191" y="21300281"/>
          <a:ext cx="2007394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22</xdr:row>
      <xdr:rowOff>60722</xdr:rowOff>
    </xdr:from>
    <xdr:to>
      <xdr:col>0</xdr:col>
      <xdr:colOff>2135584</xdr:colOff>
      <xdr:row>22</xdr:row>
      <xdr:rowOff>885428</xdr:rowOff>
    </xdr:to>
    <xdr:pic>
      <xdr:nvPicPr>
        <xdr:cNvPr id="45" name="Picture 44" descr="Insight Picture 44">
          <a:extLst>
            <a:ext uri="{FF2B5EF4-FFF2-40B4-BE49-F238E27FC236}">
              <a16:creationId xmlns:a16="http://schemas.microsoft.com/office/drawing/2014/main" id="{2DB3CE46-E1A4-43AF-D826-A675C00EB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9365" y="22634972"/>
          <a:ext cx="1493044" cy="821531"/>
        </a:xfrm>
        <a:prstGeom prst="rect">
          <a:avLst/>
        </a:prstGeom>
      </xdr:spPr>
    </xdr:pic>
    <xdr:clientData/>
  </xdr:twoCellAnchor>
  <xdr:twoCellAnchor editAs="oneCell">
    <xdr:from>
      <xdr:col>0</xdr:col>
      <xdr:colOff>764381</xdr:colOff>
      <xdr:row>23</xdr:row>
      <xdr:rowOff>60722</xdr:rowOff>
    </xdr:from>
    <xdr:to>
      <xdr:col>0</xdr:col>
      <xdr:colOff>2007394</xdr:colOff>
      <xdr:row>23</xdr:row>
      <xdr:rowOff>1285478</xdr:rowOff>
    </xdr:to>
    <xdr:pic>
      <xdr:nvPicPr>
        <xdr:cNvPr id="47" name="Picture 46" descr="Insight Picture 46">
          <a:extLst>
            <a:ext uri="{FF2B5EF4-FFF2-40B4-BE49-F238E27FC236}">
              <a16:creationId xmlns:a16="http://schemas.microsoft.com/office/drawing/2014/main" id="{59D85545-A81A-8D7C-BA1F-1C495C6B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4381" y="23577947"/>
          <a:ext cx="12430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24</xdr:row>
      <xdr:rowOff>60722</xdr:rowOff>
    </xdr:from>
    <xdr:to>
      <xdr:col>0</xdr:col>
      <xdr:colOff>2064544</xdr:colOff>
      <xdr:row>24</xdr:row>
      <xdr:rowOff>1285478</xdr:rowOff>
    </xdr:to>
    <xdr:pic>
      <xdr:nvPicPr>
        <xdr:cNvPr id="49" name="Picture 48" descr="Insight Picture 48">
          <a:extLst>
            <a:ext uri="{FF2B5EF4-FFF2-40B4-BE49-F238E27FC236}">
              <a16:creationId xmlns:a16="http://schemas.microsoft.com/office/drawing/2014/main" id="{EDAC433D-C271-8BC1-CE74-95A03385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7231" y="24920972"/>
          <a:ext cx="13573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853678</xdr:colOff>
      <xdr:row>25</xdr:row>
      <xdr:rowOff>63103</xdr:rowOff>
    </xdr:from>
    <xdr:to>
      <xdr:col>0</xdr:col>
      <xdr:colOff>1911747</xdr:colOff>
      <xdr:row>25</xdr:row>
      <xdr:rowOff>1267222</xdr:rowOff>
    </xdr:to>
    <xdr:pic>
      <xdr:nvPicPr>
        <xdr:cNvPr id="51" name="Picture 50" descr="Insight Picture 50">
          <a:extLst>
            <a:ext uri="{FF2B5EF4-FFF2-40B4-BE49-F238E27FC236}">
              <a16:creationId xmlns:a16="http://schemas.microsoft.com/office/drawing/2014/main" id="{E4BE1DCE-F45B-DB3F-F6EB-4201D500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3678" y="26266378"/>
          <a:ext cx="1064419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810815</xdr:colOff>
      <xdr:row>26</xdr:row>
      <xdr:rowOff>60722</xdr:rowOff>
    </xdr:from>
    <xdr:to>
      <xdr:col>0</xdr:col>
      <xdr:colOff>1964134</xdr:colOff>
      <xdr:row>26</xdr:row>
      <xdr:rowOff>1285478</xdr:rowOff>
    </xdr:to>
    <xdr:pic>
      <xdr:nvPicPr>
        <xdr:cNvPr id="53" name="Picture 52" descr="Insight Picture 52">
          <a:extLst>
            <a:ext uri="{FF2B5EF4-FFF2-40B4-BE49-F238E27FC236}">
              <a16:creationId xmlns:a16="http://schemas.microsoft.com/office/drawing/2014/main" id="{BB6E45BA-ED67-4927-DF8C-78221DA0A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10815" y="27597497"/>
          <a:ext cx="11501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27</xdr:row>
      <xdr:rowOff>59531</xdr:rowOff>
    </xdr:from>
    <xdr:to>
      <xdr:col>0</xdr:col>
      <xdr:colOff>2064544</xdr:colOff>
      <xdr:row>27</xdr:row>
      <xdr:rowOff>702469</xdr:rowOff>
    </xdr:to>
    <xdr:pic>
      <xdr:nvPicPr>
        <xdr:cNvPr id="55" name="Picture 54" descr="Insight Picture 54">
          <a:extLst>
            <a:ext uri="{FF2B5EF4-FFF2-40B4-BE49-F238E27FC236}">
              <a16:creationId xmlns:a16="http://schemas.microsoft.com/office/drawing/2014/main" id="{6343D26E-6E39-87B5-9096-62BCA59B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07231" y="28939331"/>
          <a:ext cx="1357313" cy="642938"/>
        </a:xfrm>
        <a:prstGeom prst="rect">
          <a:avLst/>
        </a:prstGeom>
      </xdr:spPr>
    </xdr:pic>
    <xdr:clientData/>
  </xdr:twoCellAnchor>
  <xdr:twoCellAnchor editAs="oneCell">
    <xdr:from>
      <xdr:col>0</xdr:col>
      <xdr:colOff>617935</xdr:colOff>
      <xdr:row>28</xdr:row>
      <xdr:rowOff>60722</xdr:rowOff>
    </xdr:from>
    <xdr:to>
      <xdr:col>0</xdr:col>
      <xdr:colOff>2150666</xdr:colOff>
      <xdr:row>28</xdr:row>
      <xdr:rowOff>1285478</xdr:rowOff>
    </xdr:to>
    <xdr:pic>
      <xdr:nvPicPr>
        <xdr:cNvPr id="57" name="Picture 56" descr="Insight Picture 56">
          <a:extLst>
            <a:ext uri="{FF2B5EF4-FFF2-40B4-BE49-F238E27FC236}">
              <a16:creationId xmlns:a16="http://schemas.microsoft.com/office/drawing/2014/main" id="{5ACA5773-7274-0B45-608C-28E091D5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7935" y="29702522"/>
          <a:ext cx="15359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546497</xdr:colOff>
      <xdr:row>29</xdr:row>
      <xdr:rowOff>63103</xdr:rowOff>
    </xdr:from>
    <xdr:to>
      <xdr:col>0</xdr:col>
      <xdr:colOff>2218928</xdr:colOff>
      <xdr:row>29</xdr:row>
      <xdr:rowOff>902097</xdr:rowOff>
    </xdr:to>
    <xdr:pic>
      <xdr:nvPicPr>
        <xdr:cNvPr id="59" name="Picture 58" descr="Insight Picture 58">
          <a:extLst>
            <a:ext uri="{FF2B5EF4-FFF2-40B4-BE49-F238E27FC236}">
              <a16:creationId xmlns:a16="http://schemas.microsoft.com/office/drawing/2014/main" id="{1DE20ABE-88D7-0170-D707-D5BDB44CA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46497" y="31047928"/>
          <a:ext cx="1678781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30</xdr:row>
      <xdr:rowOff>63103</xdr:rowOff>
    </xdr:from>
    <xdr:to>
      <xdr:col>0</xdr:col>
      <xdr:colOff>1904207</xdr:colOff>
      <xdr:row>30</xdr:row>
      <xdr:rowOff>924322</xdr:rowOff>
    </xdr:to>
    <xdr:pic>
      <xdr:nvPicPr>
        <xdr:cNvPr id="61" name="Picture 60" descr="Insight Picture 60">
          <a:extLst>
            <a:ext uri="{FF2B5EF4-FFF2-40B4-BE49-F238E27FC236}">
              <a16:creationId xmlns:a16="http://schemas.microsoft.com/office/drawing/2014/main" id="{2EA3CD70-5089-44F8-80A3-EDD31A94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64394" y="32009953"/>
          <a:ext cx="1042988" cy="86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31</xdr:row>
      <xdr:rowOff>60722</xdr:rowOff>
    </xdr:from>
    <xdr:to>
      <xdr:col>0</xdr:col>
      <xdr:colOff>2220913</xdr:colOff>
      <xdr:row>31</xdr:row>
      <xdr:rowOff>1285478</xdr:rowOff>
    </xdr:to>
    <xdr:pic>
      <xdr:nvPicPr>
        <xdr:cNvPr id="63" name="Picture 62" descr="Insight Picture 62">
          <a:extLst>
            <a:ext uri="{FF2B5EF4-FFF2-40B4-BE49-F238E27FC236}">
              <a16:creationId xmlns:a16="http://schemas.microsoft.com/office/drawing/2014/main" id="{112F45F8-FA6D-EA4D-89E5-B1F024CB2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57213" y="32998172"/>
          <a:ext cx="16573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353616</xdr:colOff>
      <xdr:row>32</xdr:row>
      <xdr:rowOff>61913</xdr:rowOff>
    </xdr:from>
    <xdr:to>
      <xdr:col>1</xdr:col>
      <xdr:colOff>11510</xdr:colOff>
      <xdr:row>32</xdr:row>
      <xdr:rowOff>1287463</xdr:rowOff>
    </xdr:to>
    <xdr:pic>
      <xdr:nvPicPr>
        <xdr:cNvPr id="65" name="Picture 64" descr="Insight Picture 64">
          <a:extLst>
            <a:ext uri="{FF2B5EF4-FFF2-40B4-BE49-F238E27FC236}">
              <a16:creationId xmlns:a16="http://schemas.microsoft.com/office/drawing/2014/main" id="{B33CB7DF-4C59-D2BF-1723-D0A7DD40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53616" y="34342388"/>
          <a:ext cx="2064544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739378</xdr:colOff>
      <xdr:row>33</xdr:row>
      <xdr:rowOff>60722</xdr:rowOff>
    </xdr:from>
    <xdr:to>
      <xdr:col>0</xdr:col>
      <xdr:colOff>2026047</xdr:colOff>
      <xdr:row>33</xdr:row>
      <xdr:rowOff>713978</xdr:rowOff>
    </xdr:to>
    <xdr:pic>
      <xdr:nvPicPr>
        <xdr:cNvPr id="67" name="Picture 66" descr="Insight Picture 66">
          <a:extLst>
            <a:ext uri="{FF2B5EF4-FFF2-40B4-BE49-F238E27FC236}">
              <a16:creationId xmlns:a16="http://schemas.microsoft.com/office/drawing/2014/main" id="{71673BDE-A3C9-7542-ECBE-D7989F8F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39378" y="35693747"/>
          <a:ext cx="1293019" cy="650081"/>
        </a:xfrm>
        <a:prstGeom prst="rect">
          <a:avLst/>
        </a:prstGeom>
      </xdr:spPr>
    </xdr:pic>
    <xdr:clientData/>
  </xdr:twoCellAnchor>
  <xdr:twoCellAnchor editAs="oneCell">
    <xdr:from>
      <xdr:col>0</xdr:col>
      <xdr:colOff>292893</xdr:colOff>
      <xdr:row>34</xdr:row>
      <xdr:rowOff>60722</xdr:rowOff>
    </xdr:from>
    <xdr:to>
      <xdr:col>1</xdr:col>
      <xdr:colOff>65881</xdr:colOff>
      <xdr:row>34</xdr:row>
      <xdr:rowOff>736203</xdr:rowOff>
    </xdr:to>
    <xdr:pic>
      <xdr:nvPicPr>
        <xdr:cNvPr id="69" name="Picture 68" descr="Insight Picture 68">
          <a:extLst>
            <a:ext uri="{FF2B5EF4-FFF2-40B4-BE49-F238E27FC236}">
              <a16:creationId xmlns:a16="http://schemas.microsoft.com/office/drawing/2014/main" id="{6C6F737E-2A59-8609-307C-0F53A0B6E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92893" y="36465272"/>
          <a:ext cx="2185988" cy="678656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35</xdr:row>
      <xdr:rowOff>60722</xdr:rowOff>
    </xdr:from>
    <xdr:to>
      <xdr:col>0</xdr:col>
      <xdr:colOff>1971675</xdr:colOff>
      <xdr:row>35</xdr:row>
      <xdr:rowOff>1285478</xdr:rowOff>
    </xdr:to>
    <xdr:pic>
      <xdr:nvPicPr>
        <xdr:cNvPr id="71" name="Picture 70" descr="Insight Picture 70">
          <a:extLst>
            <a:ext uri="{FF2B5EF4-FFF2-40B4-BE49-F238E27FC236}">
              <a16:creationId xmlns:a16="http://schemas.microsoft.com/office/drawing/2014/main" id="{489B0DA9-CDAF-F7C1-0BB5-F29C5D9F8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00100" y="37265372"/>
          <a:ext cx="11715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517922</xdr:colOff>
      <xdr:row>36</xdr:row>
      <xdr:rowOff>63103</xdr:rowOff>
    </xdr:from>
    <xdr:to>
      <xdr:col>0</xdr:col>
      <xdr:colOff>2260203</xdr:colOff>
      <xdr:row>36</xdr:row>
      <xdr:rowOff>1095772</xdr:rowOff>
    </xdr:to>
    <xdr:pic>
      <xdr:nvPicPr>
        <xdr:cNvPr id="73" name="Picture 72" descr="Insight Picture 72">
          <a:extLst>
            <a:ext uri="{FF2B5EF4-FFF2-40B4-BE49-F238E27FC236}">
              <a16:creationId xmlns:a16="http://schemas.microsoft.com/office/drawing/2014/main" id="{39DC8DA1-4B40-F95D-99D5-892FB4342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17922" y="38610778"/>
          <a:ext cx="1735931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903685</xdr:colOff>
      <xdr:row>37</xdr:row>
      <xdr:rowOff>60722</xdr:rowOff>
    </xdr:from>
    <xdr:to>
      <xdr:col>0</xdr:col>
      <xdr:colOff>1864916</xdr:colOff>
      <xdr:row>37</xdr:row>
      <xdr:rowOff>1285478</xdr:rowOff>
    </xdr:to>
    <xdr:pic>
      <xdr:nvPicPr>
        <xdr:cNvPr id="75" name="Picture 74" descr="Insight Picture 74">
          <a:extLst>
            <a:ext uri="{FF2B5EF4-FFF2-40B4-BE49-F238E27FC236}">
              <a16:creationId xmlns:a16="http://schemas.microsoft.com/office/drawing/2014/main" id="{0FF5A720-8765-8C49-D219-52DF12CCF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03685" y="39770447"/>
          <a:ext cx="9644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38</xdr:row>
      <xdr:rowOff>63103</xdr:rowOff>
    </xdr:from>
    <xdr:to>
      <xdr:col>0</xdr:col>
      <xdr:colOff>2103834</xdr:colOff>
      <xdr:row>38</xdr:row>
      <xdr:rowOff>844947</xdr:rowOff>
    </xdr:to>
    <xdr:pic>
      <xdr:nvPicPr>
        <xdr:cNvPr id="77" name="Picture 76" descr="Insight Picture 76">
          <a:extLst>
            <a:ext uri="{FF2B5EF4-FFF2-40B4-BE49-F238E27FC236}">
              <a16:creationId xmlns:a16="http://schemas.microsoft.com/office/drawing/2014/main" id="{4BE987AE-872A-18FC-0B7B-7B05931A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7940" y="41115853"/>
          <a:ext cx="1435894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39</xdr:row>
      <xdr:rowOff>63103</xdr:rowOff>
    </xdr:from>
    <xdr:to>
      <xdr:col>0</xdr:col>
      <xdr:colOff>1904207</xdr:colOff>
      <xdr:row>39</xdr:row>
      <xdr:rowOff>1038622</xdr:rowOff>
    </xdr:to>
    <xdr:pic>
      <xdr:nvPicPr>
        <xdr:cNvPr id="79" name="Picture 78" descr="Insight Picture 78">
          <a:extLst>
            <a:ext uri="{FF2B5EF4-FFF2-40B4-BE49-F238E27FC236}">
              <a16:creationId xmlns:a16="http://schemas.microsoft.com/office/drawing/2014/main" id="{57E0EEC9-E335-D8D3-ED8C-EA732122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64394" y="42020728"/>
          <a:ext cx="1042988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40</xdr:row>
      <xdr:rowOff>60722</xdr:rowOff>
    </xdr:from>
    <xdr:to>
      <xdr:col>0</xdr:col>
      <xdr:colOff>2075657</xdr:colOff>
      <xdr:row>40</xdr:row>
      <xdr:rowOff>793353</xdr:rowOff>
    </xdr:to>
    <xdr:pic>
      <xdr:nvPicPr>
        <xdr:cNvPr id="81" name="Picture 80" descr="Insight Picture 80">
          <a:extLst>
            <a:ext uri="{FF2B5EF4-FFF2-40B4-BE49-F238E27FC236}">
              <a16:creationId xmlns:a16="http://schemas.microsoft.com/office/drawing/2014/main" id="{E78B8BFD-E202-BDE4-7547-9533B831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92944" y="43123247"/>
          <a:ext cx="1385888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360759</xdr:colOff>
      <xdr:row>41</xdr:row>
      <xdr:rowOff>63103</xdr:rowOff>
    </xdr:from>
    <xdr:to>
      <xdr:col>1</xdr:col>
      <xdr:colOff>1190</xdr:colOff>
      <xdr:row>41</xdr:row>
      <xdr:rowOff>1152922</xdr:rowOff>
    </xdr:to>
    <xdr:pic>
      <xdr:nvPicPr>
        <xdr:cNvPr id="83" name="Picture 82" descr="Insight Picture 82">
          <a:extLst>
            <a:ext uri="{FF2B5EF4-FFF2-40B4-BE49-F238E27FC236}">
              <a16:creationId xmlns:a16="http://schemas.microsoft.com/office/drawing/2014/main" id="{4E93587D-B475-D837-5C66-49E722FA6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60759" y="43982878"/>
          <a:ext cx="2050256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42</xdr:row>
      <xdr:rowOff>60722</xdr:rowOff>
    </xdr:from>
    <xdr:to>
      <xdr:col>0</xdr:col>
      <xdr:colOff>1882775</xdr:colOff>
      <xdr:row>42</xdr:row>
      <xdr:rowOff>942578</xdr:rowOff>
    </xdr:to>
    <xdr:pic>
      <xdr:nvPicPr>
        <xdr:cNvPr id="85" name="Picture 84" descr="Insight Picture 84">
          <a:extLst>
            <a:ext uri="{FF2B5EF4-FFF2-40B4-BE49-F238E27FC236}">
              <a16:creationId xmlns:a16="http://schemas.microsoft.com/office/drawing/2014/main" id="{0F12808F-4C8D-4668-7B18-384D2C36C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85825" y="45199697"/>
          <a:ext cx="1000125" cy="878681"/>
        </a:xfrm>
        <a:prstGeom prst="rect">
          <a:avLst/>
        </a:prstGeom>
      </xdr:spPr>
    </xdr:pic>
    <xdr:clientData/>
  </xdr:twoCellAnchor>
  <xdr:twoCellAnchor editAs="oneCell">
    <xdr:from>
      <xdr:col>0</xdr:col>
      <xdr:colOff>817960</xdr:colOff>
      <xdr:row>43</xdr:row>
      <xdr:rowOff>63103</xdr:rowOff>
    </xdr:from>
    <xdr:to>
      <xdr:col>0</xdr:col>
      <xdr:colOff>1953816</xdr:colOff>
      <xdr:row>43</xdr:row>
      <xdr:rowOff>902097</xdr:rowOff>
    </xdr:to>
    <xdr:pic>
      <xdr:nvPicPr>
        <xdr:cNvPr id="87" name="Picture 86" descr="Insight Picture 86">
          <a:extLst>
            <a:ext uri="{FF2B5EF4-FFF2-40B4-BE49-F238E27FC236}">
              <a16:creationId xmlns:a16="http://schemas.microsoft.com/office/drawing/2014/main" id="{4B1D2B7D-344E-0DC0-666E-F80B2E336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17960" y="46202203"/>
          <a:ext cx="1135856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44</xdr:row>
      <xdr:rowOff>59531</xdr:rowOff>
    </xdr:from>
    <xdr:to>
      <xdr:col>0</xdr:col>
      <xdr:colOff>2028825</xdr:colOff>
      <xdr:row>44</xdr:row>
      <xdr:rowOff>791369</xdr:rowOff>
    </xdr:to>
    <xdr:pic>
      <xdr:nvPicPr>
        <xdr:cNvPr id="89" name="Picture 88" descr="Insight Picture 88">
          <a:extLst>
            <a:ext uri="{FF2B5EF4-FFF2-40B4-BE49-F238E27FC236}">
              <a16:creationId xmlns:a16="http://schemas.microsoft.com/office/drawing/2014/main" id="{FBD3C73A-A6D0-6811-DB51-D9DBC30F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42950" y="47160656"/>
          <a:ext cx="1285875" cy="728663"/>
        </a:xfrm>
        <a:prstGeom prst="rect">
          <a:avLst/>
        </a:prstGeom>
      </xdr:spPr>
    </xdr:pic>
    <xdr:clientData/>
  </xdr:twoCellAnchor>
  <xdr:twoCellAnchor editAs="oneCell">
    <xdr:from>
      <xdr:col>0</xdr:col>
      <xdr:colOff>953690</xdr:colOff>
      <xdr:row>45</xdr:row>
      <xdr:rowOff>60722</xdr:rowOff>
    </xdr:from>
    <xdr:to>
      <xdr:col>0</xdr:col>
      <xdr:colOff>1818084</xdr:colOff>
      <xdr:row>45</xdr:row>
      <xdr:rowOff>1285478</xdr:rowOff>
    </xdr:to>
    <xdr:pic>
      <xdr:nvPicPr>
        <xdr:cNvPr id="91" name="Picture 90" descr="Insight Picture 90">
          <a:extLst>
            <a:ext uri="{FF2B5EF4-FFF2-40B4-BE49-F238E27FC236}">
              <a16:creationId xmlns:a16="http://schemas.microsoft.com/office/drawing/2014/main" id="{8A56B831-ECB7-0C47-CB7F-58D0BEB79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3690" y="48009572"/>
          <a:ext cx="8643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150018</xdr:colOff>
      <xdr:row>46</xdr:row>
      <xdr:rowOff>61913</xdr:rowOff>
    </xdr:from>
    <xdr:to>
      <xdr:col>1</xdr:col>
      <xdr:colOff>211931</xdr:colOff>
      <xdr:row>46</xdr:row>
      <xdr:rowOff>1173163</xdr:rowOff>
    </xdr:to>
    <xdr:pic>
      <xdr:nvPicPr>
        <xdr:cNvPr id="93" name="Picture 92" descr="Insight Picture 92">
          <a:extLst>
            <a:ext uri="{FF2B5EF4-FFF2-40B4-BE49-F238E27FC236}">
              <a16:creationId xmlns:a16="http://schemas.microsoft.com/office/drawing/2014/main" id="{804B4042-688C-0FB5-736B-6B8C6506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0018" y="49353788"/>
          <a:ext cx="2471738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47</xdr:row>
      <xdr:rowOff>61913</xdr:rowOff>
    </xdr:from>
    <xdr:to>
      <xdr:col>0</xdr:col>
      <xdr:colOff>2103834</xdr:colOff>
      <xdr:row>47</xdr:row>
      <xdr:rowOff>1116013</xdr:rowOff>
    </xdr:to>
    <xdr:pic>
      <xdr:nvPicPr>
        <xdr:cNvPr id="95" name="Picture 94" descr="Insight Picture 94">
          <a:extLst>
            <a:ext uri="{FF2B5EF4-FFF2-40B4-BE49-F238E27FC236}">
              <a16:creationId xmlns:a16="http://schemas.microsoft.com/office/drawing/2014/main" id="{5B419814-90BB-7487-D00D-FC738ACC7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7940" y="50592038"/>
          <a:ext cx="1435894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942975</xdr:colOff>
      <xdr:row>48</xdr:row>
      <xdr:rowOff>60722</xdr:rowOff>
    </xdr:from>
    <xdr:to>
      <xdr:col>0</xdr:col>
      <xdr:colOff>1825625</xdr:colOff>
      <xdr:row>48</xdr:row>
      <xdr:rowOff>1285478</xdr:rowOff>
    </xdr:to>
    <xdr:pic>
      <xdr:nvPicPr>
        <xdr:cNvPr id="97" name="Picture 96" descr="Insight Picture 96">
          <a:extLst>
            <a:ext uri="{FF2B5EF4-FFF2-40B4-BE49-F238E27FC236}">
              <a16:creationId xmlns:a16="http://schemas.microsoft.com/office/drawing/2014/main" id="{46BDA95B-F01D-4DD5-51D7-8C26B7F2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42975" y="51771947"/>
          <a:ext cx="8858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825103</xdr:colOff>
      <xdr:row>49</xdr:row>
      <xdr:rowOff>60722</xdr:rowOff>
    </xdr:from>
    <xdr:to>
      <xdr:col>0</xdr:col>
      <xdr:colOff>1953022</xdr:colOff>
      <xdr:row>49</xdr:row>
      <xdr:rowOff>1285478</xdr:rowOff>
    </xdr:to>
    <xdr:pic>
      <xdr:nvPicPr>
        <xdr:cNvPr id="99" name="Picture 98" descr="Insight Picture 98">
          <a:extLst>
            <a:ext uri="{FF2B5EF4-FFF2-40B4-BE49-F238E27FC236}">
              <a16:creationId xmlns:a16="http://schemas.microsoft.com/office/drawing/2014/main" id="{2803A786-2747-8ABD-9F99-A729CFE1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25103" y="53114972"/>
          <a:ext cx="112156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439341</xdr:colOff>
      <xdr:row>50</xdr:row>
      <xdr:rowOff>60722</xdr:rowOff>
    </xdr:from>
    <xdr:to>
      <xdr:col>0</xdr:col>
      <xdr:colOff>2332435</xdr:colOff>
      <xdr:row>50</xdr:row>
      <xdr:rowOff>1285478</xdr:rowOff>
    </xdr:to>
    <xdr:pic>
      <xdr:nvPicPr>
        <xdr:cNvPr id="101" name="Picture 100" descr="Insight Picture 100">
          <a:extLst>
            <a:ext uri="{FF2B5EF4-FFF2-40B4-BE49-F238E27FC236}">
              <a16:creationId xmlns:a16="http://schemas.microsoft.com/office/drawing/2014/main" id="{E73D0063-6DA3-7919-8574-BDFD8A4F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39341" y="54457997"/>
          <a:ext cx="18930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564356</xdr:colOff>
      <xdr:row>51</xdr:row>
      <xdr:rowOff>60722</xdr:rowOff>
    </xdr:from>
    <xdr:to>
      <xdr:col>0</xdr:col>
      <xdr:colOff>2210594</xdr:colOff>
      <xdr:row>51</xdr:row>
      <xdr:rowOff>793353</xdr:rowOff>
    </xdr:to>
    <xdr:pic>
      <xdr:nvPicPr>
        <xdr:cNvPr id="103" name="Picture 102" descr="Insight Picture 102">
          <a:extLst>
            <a:ext uri="{FF2B5EF4-FFF2-40B4-BE49-F238E27FC236}">
              <a16:creationId xmlns:a16="http://schemas.microsoft.com/office/drawing/2014/main" id="{B13A33F6-E273-254A-6C41-23D23D38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64356" y="55801022"/>
          <a:ext cx="1643063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52</xdr:row>
      <xdr:rowOff>59531</xdr:rowOff>
    </xdr:from>
    <xdr:to>
      <xdr:col>0</xdr:col>
      <xdr:colOff>1904207</xdr:colOff>
      <xdr:row>52</xdr:row>
      <xdr:rowOff>1045369</xdr:rowOff>
    </xdr:to>
    <xdr:pic>
      <xdr:nvPicPr>
        <xdr:cNvPr id="105" name="Picture 104" descr="Insight Picture 104">
          <a:extLst>
            <a:ext uri="{FF2B5EF4-FFF2-40B4-BE49-F238E27FC236}">
              <a16:creationId xmlns:a16="http://schemas.microsoft.com/office/drawing/2014/main" id="{4E7F6A5F-DEC7-BD42-7214-3CE1AE56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64394" y="56657081"/>
          <a:ext cx="1042988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792956</xdr:colOff>
      <xdr:row>53</xdr:row>
      <xdr:rowOff>59531</xdr:rowOff>
    </xdr:from>
    <xdr:to>
      <xdr:col>0</xdr:col>
      <xdr:colOff>1981994</xdr:colOff>
      <xdr:row>53</xdr:row>
      <xdr:rowOff>816769</xdr:rowOff>
    </xdr:to>
    <xdr:pic>
      <xdr:nvPicPr>
        <xdr:cNvPr id="107" name="Picture 106" descr="Insight Picture 106">
          <a:extLst>
            <a:ext uri="{FF2B5EF4-FFF2-40B4-BE49-F238E27FC236}">
              <a16:creationId xmlns:a16="http://schemas.microsoft.com/office/drawing/2014/main" id="{0E1ADEB4-62AB-7897-79D6-8C2D2F28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92956" y="57761981"/>
          <a:ext cx="1185863" cy="757238"/>
        </a:xfrm>
        <a:prstGeom prst="rect">
          <a:avLst/>
        </a:prstGeom>
      </xdr:spPr>
    </xdr:pic>
    <xdr:clientData/>
  </xdr:twoCellAnchor>
  <xdr:twoCellAnchor editAs="oneCell">
    <xdr:from>
      <xdr:col>0</xdr:col>
      <xdr:colOff>164306</xdr:colOff>
      <xdr:row>54</xdr:row>
      <xdr:rowOff>61913</xdr:rowOff>
    </xdr:from>
    <xdr:to>
      <xdr:col>1</xdr:col>
      <xdr:colOff>200819</xdr:colOff>
      <xdr:row>54</xdr:row>
      <xdr:rowOff>887413</xdr:rowOff>
    </xdr:to>
    <xdr:pic>
      <xdr:nvPicPr>
        <xdr:cNvPr id="109" name="Picture 108" descr="Insight Picture 108">
          <a:extLst>
            <a:ext uri="{FF2B5EF4-FFF2-40B4-BE49-F238E27FC236}">
              <a16:creationId xmlns:a16="http://schemas.microsoft.com/office/drawing/2014/main" id="{11CD5C10-C578-EFF2-26B2-25B381108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64306" y="58640663"/>
          <a:ext cx="2443163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1189434</xdr:colOff>
      <xdr:row>55</xdr:row>
      <xdr:rowOff>60722</xdr:rowOff>
    </xdr:from>
    <xdr:to>
      <xdr:col>0</xdr:col>
      <xdr:colOff>1582340</xdr:colOff>
      <xdr:row>55</xdr:row>
      <xdr:rowOff>599678</xdr:rowOff>
    </xdr:to>
    <xdr:pic>
      <xdr:nvPicPr>
        <xdr:cNvPr id="111" name="Picture 110" descr="Insight Picture 110">
          <a:extLst>
            <a:ext uri="{FF2B5EF4-FFF2-40B4-BE49-F238E27FC236}">
              <a16:creationId xmlns:a16="http://schemas.microsoft.com/office/drawing/2014/main" id="{27C14782-2D9D-114B-C6A0-890C0765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89434" y="59591972"/>
          <a:ext cx="392906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475059</xdr:colOff>
      <xdr:row>56</xdr:row>
      <xdr:rowOff>63103</xdr:rowOff>
    </xdr:from>
    <xdr:to>
      <xdr:col>0</xdr:col>
      <xdr:colOff>2296715</xdr:colOff>
      <xdr:row>56</xdr:row>
      <xdr:rowOff>1210072</xdr:rowOff>
    </xdr:to>
    <xdr:pic>
      <xdr:nvPicPr>
        <xdr:cNvPr id="113" name="Picture 112" descr="Insight Picture 112">
          <a:extLst>
            <a:ext uri="{FF2B5EF4-FFF2-40B4-BE49-F238E27FC236}">
              <a16:creationId xmlns:a16="http://schemas.microsoft.com/office/drawing/2014/main" id="{03DA74C3-2A4F-EAFE-2239-A0D475913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75059" y="60251578"/>
          <a:ext cx="1821656" cy="1150144"/>
        </a:xfrm>
        <a:prstGeom prst="rect">
          <a:avLst/>
        </a:prstGeom>
      </xdr:spPr>
    </xdr:pic>
    <xdr:clientData/>
  </xdr:twoCellAnchor>
  <xdr:twoCellAnchor editAs="oneCell">
    <xdr:from>
      <xdr:col>0</xdr:col>
      <xdr:colOff>967978</xdr:colOff>
      <xdr:row>57</xdr:row>
      <xdr:rowOff>60722</xdr:rowOff>
    </xdr:from>
    <xdr:to>
      <xdr:col>0</xdr:col>
      <xdr:colOff>1797447</xdr:colOff>
      <xdr:row>57</xdr:row>
      <xdr:rowOff>1285478</xdr:rowOff>
    </xdr:to>
    <xdr:pic>
      <xdr:nvPicPr>
        <xdr:cNvPr id="115" name="Picture 114" descr="Insight Picture 114">
          <a:extLst>
            <a:ext uri="{FF2B5EF4-FFF2-40B4-BE49-F238E27FC236}">
              <a16:creationId xmlns:a16="http://schemas.microsoft.com/office/drawing/2014/main" id="{5BC120DB-71CE-781E-3819-621AAF83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67978" y="61525547"/>
          <a:ext cx="8358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642938</xdr:colOff>
      <xdr:row>58</xdr:row>
      <xdr:rowOff>59531</xdr:rowOff>
    </xdr:from>
    <xdr:to>
      <xdr:col>0</xdr:col>
      <xdr:colOff>2122488</xdr:colOff>
      <xdr:row>58</xdr:row>
      <xdr:rowOff>1273969</xdr:rowOff>
    </xdr:to>
    <xdr:pic>
      <xdr:nvPicPr>
        <xdr:cNvPr id="117" name="Picture 116" descr="Insight Picture 116">
          <a:extLst>
            <a:ext uri="{FF2B5EF4-FFF2-40B4-BE49-F238E27FC236}">
              <a16:creationId xmlns:a16="http://schemas.microsoft.com/office/drawing/2014/main" id="{3FCC9BF9-E21F-AC63-C2A3-D65A29F7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42938" y="62867381"/>
          <a:ext cx="1485900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550068</xdr:colOff>
      <xdr:row>59</xdr:row>
      <xdr:rowOff>61913</xdr:rowOff>
    </xdr:from>
    <xdr:to>
      <xdr:col>0</xdr:col>
      <xdr:colOff>2221706</xdr:colOff>
      <xdr:row>59</xdr:row>
      <xdr:rowOff>1058863</xdr:rowOff>
    </xdr:to>
    <xdr:pic>
      <xdr:nvPicPr>
        <xdr:cNvPr id="119" name="Picture 118" descr="Insight Picture 118">
          <a:extLst>
            <a:ext uri="{FF2B5EF4-FFF2-40B4-BE49-F238E27FC236}">
              <a16:creationId xmlns:a16="http://schemas.microsoft.com/office/drawing/2014/main" id="{5632FFD9-6E80-9814-BBF4-1A1F4812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50068" y="64203263"/>
          <a:ext cx="1671638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60</xdr:row>
      <xdr:rowOff>63103</xdr:rowOff>
    </xdr:from>
    <xdr:to>
      <xdr:col>0</xdr:col>
      <xdr:colOff>1882775</xdr:colOff>
      <xdr:row>60</xdr:row>
      <xdr:rowOff>1038622</xdr:rowOff>
    </xdr:to>
    <xdr:pic>
      <xdr:nvPicPr>
        <xdr:cNvPr id="121" name="Picture 120" descr="Insight Picture 120">
          <a:extLst>
            <a:ext uri="{FF2B5EF4-FFF2-40B4-BE49-F238E27FC236}">
              <a16:creationId xmlns:a16="http://schemas.microsoft.com/office/drawing/2014/main" id="{A10F9961-7555-2775-120C-5F98B964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85825" y="65328403"/>
          <a:ext cx="1000125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61</xdr:row>
      <xdr:rowOff>61913</xdr:rowOff>
    </xdr:from>
    <xdr:to>
      <xdr:col>0</xdr:col>
      <xdr:colOff>2036366</xdr:colOff>
      <xdr:row>61</xdr:row>
      <xdr:rowOff>808038</xdr:rowOff>
    </xdr:to>
    <xdr:pic>
      <xdr:nvPicPr>
        <xdr:cNvPr id="123" name="Picture 122" descr="Insight Picture 122">
          <a:extLst>
            <a:ext uri="{FF2B5EF4-FFF2-40B4-BE49-F238E27FC236}">
              <a16:creationId xmlns:a16="http://schemas.microsoft.com/office/drawing/2014/main" id="{8B422F58-2516-745F-8AAF-2A053332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32235" y="66432113"/>
          <a:ext cx="130730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62</xdr:row>
      <xdr:rowOff>61913</xdr:rowOff>
    </xdr:from>
    <xdr:to>
      <xdr:col>0</xdr:col>
      <xdr:colOff>2088753</xdr:colOff>
      <xdr:row>62</xdr:row>
      <xdr:rowOff>1093788</xdr:rowOff>
    </xdr:to>
    <xdr:pic>
      <xdr:nvPicPr>
        <xdr:cNvPr id="125" name="Picture 124" descr="Insight Picture 124">
          <a:extLst>
            <a:ext uri="{FF2B5EF4-FFF2-40B4-BE49-F238E27FC236}">
              <a16:creationId xmlns:a16="http://schemas.microsoft.com/office/drawing/2014/main" id="{75DB6F94-E59B-A34A-7952-8CF775FD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89372" y="67298888"/>
          <a:ext cx="1393031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650081</xdr:colOff>
      <xdr:row>63</xdr:row>
      <xdr:rowOff>60722</xdr:rowOff>
    </xdr:from>
    <xdr:to>
      <xdr:col>0</xdr:col>
      <xdr:colOff>2121694</xdr:colOff>
      <xdr:row>63</xdr:row>
      <xdr:rowOff>793353</xdr:rowOff>
    </xdr:to>
    <xdr:pic>
      <xdr:nvPicPr>
        <xdr:cNvPr id="127" name="Picture 126" descr="Insight Picture 126">
          <a:extLst>
            <a:ext uri="{FF2B5EF4-FFF2-40B4-BE49-F238E27FC236}">
              <a16:creationId xmlns:a16="http://schemas.microsoft.com/office/drawing/2014/main" id="{070F49EB-81DD-466E-CC1E-23C342DA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50081" y="68450222"/>
          <a:ext cx="1471613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64</xdr:row>
      <xdr:rowOff>60722</xdr:rowOff>
    </xdr:from>
    <xdr:to>
      <xdr:col>0</xdr:col>
      <xdr:colOff>2028825</xdr:colOff>
      <xdr:row>64</xdr:row>
      <xdr:rowOff>1250553</xdr:rowOff>
    </xdr:to>
    <xdr:pic>
      <xdr:nvPicPr>
        <xdr:cNvPr id="129" name="Picture 128" descr="Insight Picture 128">
          <a:extLst>
            <a:ext uri="{FF2B5EF4-FFF2-40B4-BE49-F238E27FC236}">
              <a16:creationId xmlns:a16="http://schemas.microsoft.com/office/drawing/2014/main" id="{35AFF75E-49B0-5F85-94BD-953B45D2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42950" y="69307472"/>
          <a:ext cx="1285875" cy="1193006"/>
        </a:xfrm>
        <a:prstGeom prst="rect">
          <a:avLst/>
        </a:prstGeom>
      </xdr:spPr>
    </xdr:pic>
    <xdr:clientData/>
  </xdr:twoCellAnchor>
  <xdr:twoCellAnchor editAs="oneCell">
    <xdr:from>
      <xdr:col>0</xdr:col>
      <xdr:colOff>635794</xdr:colOff>
      <xdr:row>65</xdr:row>
      <xdr:rowOff>59531</xdr:rowOff>
    </xdr:from>
    <xdr:to>
      <xdr:col>0</xdr:col>
      <xdr:colOff>2132807</xdr:colOff>
      <xdr:row>65</xdr:row>
      <xdr:rowOff>848519</xdr:rowOff>
    </xdr:to>
    <xdr:pic>
      <xdr:nvPicPr>
        <xdr:cNvPr id="131" name="Picture 130" descr="Insight Picture 130">
          <a:extLst>
            <a:ext uri="{FF2B5EF4-FFF2-40B4-BE49-F238E27FC236}">
              <a16:creationId xmlns:a16="http://schemas.microsoft.com/office/drawing/2014/main" id="{C75916C4-C1FB-C29E-6382-427E0DE3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35794" y="70620731"/>
          <a:ext cx="1500188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66</xdr:row>
      <xdr:rowOff>59531</xdr:rowOff>
    </xdr:from>
    <xdr:to>
      <xdr:col>0</xdr:col>
      <xdr:colOff>2054225</xdr:colOff>
      <xdr:row>66</xdr:row>
      <xdr:rowOff>816769</xdr:rowOff>
    </xdr:to>
    <xdr:pic>
      <xdr:nvPicPr>
        <xdr:cNvPr id="133" name="Picture 132" descr="Insight Picture 132">
          <a:extLst>
            <a:ext uri="{FF2B5EF4-FFF2-40B4-BE49-F238E27FC236}">
              <a16:creationId xmlns:a16="http://schemas.microsoft.com/office/drawing/2014/main" id="{5A40CF06-B201-4BA2-A6D8-FC81EADA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14375" y="71525606"/>
          <a:ext cx="1343025" cy="757238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67</xdr:row>
      <xdr:rowOff>63103</xdr:rowOff>
    </xdr:from>
    <xdr:to>
      <xdr:col>0</xdr:col>
      <xdr:colOff>1950244</xdr:colOff>
      <xdr:row>67</xdr:row>
      <xdr:rowOff>902097</xdr:rowOff>
    </xdr:to>
    <xdr:pic>
      <xdr:nvPicPr>
        <xdr:cNvPr id="135" name="Picture 134" descr="Insight Picture 134">
          <a:extLst>
            <a:ext uri="{FF2B5EF4-FFF2-40B4-BE49-F238E27FC236}">
              <a16:creationId xmlns:a16="http://schemas.microsoft.com/office/drawing/2014/main" id="{BB5864A4-CCAC-A7FC-15E0-ECEC6A4BB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21531" y="72405478"/>
          <a:ext cx="1128713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68</xdr:row>
      <xdr:rowOff>59531</xdr:rowOff>
    </xdr:from>
    <xdr:to>
      <xdr:col>1</xdr:col>
      <xdr:colOff>76200</xdr:colOff>
      <xdr:row>68</xdr:row>
      <xdr:rowOff>1273969</xdr:rowOff>
    </xdr:to>
    <xdr:pic>
      <xdr:nvPicPr>
        <xdr:cNvPr id="137" name="Picture 136" descr="Insight Picture 136">
          <a:extLst>
            <a:ext uri="{FF2B5EF4-FFF2-40B4-BE49-F238E27FC236}">
              <a16:creationId xmlns:a16="http://schemas.microsoft.com/office/drawing/2014/main" id="{FBE03742-609E-AF45-5A79-1AED1A93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5750" y="73363931"/>
          <a:ext cx="2200275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532209</xdr:colOff>
      <xdr:row>69</xdr:row>
      <xdr:rowOff>63103</xdr:rowOff>
    </xdr:from>
    <xdr:to>
      <xdr:col>0</xdr:col>
      <xdr:colOff>2239565</xdr:colOff>
      <xdr:row>69</xdr:row>
      <xdr:rowOff>1073547</xdr:rowOff>
    </xdr:to>
    <xdr:pic>
      <xdr:nvPicPr>
        <xdr:cNvPr id="139" name="Picture 138" descr="Insight Picture 138">
          <a:extLst>
            <a:ext uri="{FF2B5EF4-FFF2-40B4-BE49-F238E27FC236}">
              <a16:creationId xmlns:a16="http://schemas.microsoft.com/office/drawing/2014/main" id="{E999C768-6427-18E8-FAAE-8DEE97ED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32209" y="74701003"/>
          <a:ext cx="1707356" cy="1007269"/>
        </a:xfrm>
        <a:prstGeom prst="rect">
          <a:avLst/>
        </a:prstGeom>
      </xdr:spPr>
    </xdr:pic>
    <xdr:clientData/>
  </xdr:twoCellAnchor>
  <xdr:twoCellAnchor editAs="oneCell">
    <xdr:from>
      <xdr:col>0</xdr:col>
      <xdr:colOff>746522</xdr:colOff>
      <xdr:row>70</xdr:row>
      <xdr:rowOff>61913</xdr:rowOff>
    </xdr:from>
    <xdr:to>
      <xdr:col>0</xdr:col>
      <xdr:colOff>2031603</xdr:colOff>
      <xdr:row>70</xdr:row>
      <xdr:rowOff>750888</xdr:rowOff>
    </xdr:to>
    <xdr:pic>
      <xdr:nvPicPr>
        <xdr:cNvPr id="141" name="Picture 140" descr="Insight Picture 140">
          <a:extLst>
            <a:ext uri="{FF2B5EF4-FFF2-40B4-BE49-F238E27FC236}">
              <a16:creationId xmlns:a16="http://schemas.microsoft.com/office/drawing/2014/main" id="{A5B45DA4-7A87-7E98-A5D2-85BE67C8A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46522" y="75833288"/>
          <a:ext cx="1278731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389334</xdr:colOff>
      <xdr:row>71</xdr:row>
      <xdr:rowOff>60722</xdr:rowOff>
    </xdr:from>
    <xdr:to>
      <xdr:col>0</xdr:col>
      <xdr:colOff>2379265</xdr:colOff>
      <xdr:row>71</xdr:row>
      <xdr:rowOff>793353</xdr:rowOff>
    </xdr:to>
    <xdr:pic>
      <xdr:nvPicPr>
        <xdr:cNvPr id="143" name="Picture 142" descr="Insight Picture 142">
          <a:extLst>
            <a:ext uri="{FF2B5EF4-FFF2-40B4-BE49-F238E27FC236}">
              <a16:creationId xmlns:a16="http://schemas.microsoft.com/office/drawing/2014/main" id="{ADFB72FC-DC8E-5E0B-E074-FD6044E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89334" y="76641722"/>
          <a:ext cx="1993106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675085</xdr:colOff>
      <xdr:row>72</xdr:row>
      <xdr:rowOff>59531</xdr:rowOff>
    </xdr:from>
    <xdr:to>
      <xdr:col>0</xdr:col>
      <xdr:colOff>2093516</xdr:colOff>
      <xdr:row>72</xdr:row>
      <xdr:rowOff>988219</xdr:rowOff>
    </xdr:to>
    <xdr:pic>
      <xdr:nvPicPr>
        <xdr:cNvPr id="145" name="Picture 144" descr="Insight Picture 144">
          <a:extLst>
            <a:ext uri="{FF2B5EF4-FFF2-40B4-BE49-F238E27FC236}">
              <a16:creationId xmlns:a16="http://schemas.microsoft.com/office/drawing/2014/main" id="{8629B72F-8C47-6DBB-1998-1C936757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75085" y="77497781"/>
          <a:ext cx="1421606" cy="92868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73</xdr:row>
      <xdr:rowOff>59531</xdr:rowOff>
    </xdr:from>
    <xdr:to>
      <xdr:col>0</xdr:col>
      <xdr:colOff>2408238</xdr:colOff>
      <xdr:row>73</xdr:row>
      <xdr:rowOff>645319</xdr:rowOff>
    </xdr:to>
    <xdr:pic>
      <xdr:nvPicPr>
        <xdr:cNvPr id="147" name="Picture 146" descr="Insight Picture 146">
          <a:extLst>
            <a:ext uri="{FF2B5EF4-FFF2-40B4-BE49-F238E27FC236}">
              <a16:creationId xmlns:a16="http://schemas.microsoft.com/office/drawing/2014/main" id="{543009B5-9B35-F222-423B-5A4E446D2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57188" y="78545531"/>
          <a:ext cx="2057400" cy="585788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74</xdr:row>
      <xdr:rowOff>63103</xdr:rowOff>
    </xdr:from>
    <xdr:to>
      <xdr:col>0</xdr:col>
      <xdr:colOff>1950244</xdr:colOff>
      <xdr:row>74</xdr:row>
      <xdr:rowOff>1152922</xdr:rowOff>
    </xdr:to>
    <xdr:pic>
      <xdr:nvPicPr>
        <xdr:cNvPr id="149" name="Picture 148" descr="Insight Picture 148">
          <a:extLst>
            <a:ext uri="{FF2B5EF4-FFF2-40B4-BE49-F238E27FC236}">
              <a16:creationId xmlns:a16="http://schemas.microsoft.com/office/drawing/2014/main" id="{3904D0E0-5026-8641-F9F4-C989738CE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21531" y="79253953"/>
          <a:ext cx="1128713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532209</xdr:colOff>
      <xdr:row>75</xdr:row>
      <xdr:rowOff>59531</xdr:rowOff>
    </xdr:from>
    <xdr:to>
      <xdr:col>0</xdr:col>
      <xdr:colOff>2239565</xdr:colOff>
      <xdr:row>75</xdr:row>
      <xdr:rowOff>1273969</xdr:rowOff>
    </xdr:to>
    <xdr:pic>
      <xdr:nvPicPr>
        <xdr:cNvPr id="151" name="Picture 150" descr="Insight Picture 150">
          <a:extLst>
            <a:ext uri="{FF2B5EF4-FFF2-40B4-BE49-F238E27FC236}">
              <a16:creationId xmlns:a16="http://schemas.microsoft.com/office/drawing/2014/main" id="{EC6D663D-AA8C-F1C5-A56A-FACA4501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32209" y="80469581"/>
          <a:ext cx="1707356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757238</xdr:colOff>
      <xdr:row>76</xdr:row>
      <xdr:rowOff>63103</xdr:rowOff>
    </xdr:from>
    <xdr:to>
      <xdr:col>0</xdr:col>
      <xdr:colOff>2008188</xdr:colOff>
      <xdr:row>76</xdr:row>
      <xdr:rowOff>1095772</xdr:rowOff>
    </xdr:to>
    <xdr:pic>
      <xdr:nvPicPr>
        <xdr:cNvPr id="153" name="Picture 152" descr="Insight Picture 152">
          <a:extLst>
            <a:ext uri="{FF2B5EF4-FFF2-40B4-BE49-F238E27FC236}">
              <a16:creationId xmlns:a16="http://schemas.microsoft.com/office/drawing/2014/main" id="{8C16A7A6-CA92-AD98-813A-9825BC2E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57238" y="81806653"/>
          <a:ext cx="1257300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1014413</xdr:colOff>
      <xdr:row>77</xdr:row>
      <xdr:rowOff>63103</xdr:rowOff>
    </xdr:from>
    <xdr:to>
      <xdr:col>0</xdr:col>
      <xdr:colOff>1763713</xdr:colOff>
      <xdr:row>77</xdr:row>
      <xdr:rowOff>844947</xdr:rowOff>
    </xdr:to>
    <xdr:pic>
      <xdr:nvPicPr>
        <xdr:cNvPr id="155" name="Picture 154" descr="Insight Picture 154">
          <a:extLst>
            <a:ext uri="{FF2B5EF4-FFF2-40B4-BE49-F238E27FC236}">
              <a16:creationId xmlns:a16="http://schemas.microsoft.com/office/drawing/2014/main" id="{0C3C745F-EDA9-65D5-5ED0-020F1892B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014413" y="82968703"/>
          <a:ext cx="742950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607219</xdr:colOff>
      <xdr:row>78</xdr:row>
      <xdr:rowOff>60722</xdr:rowOff>
    </xdr:from>
    <xdr:to>
      <xdr:col>0</xdr:col>
      <xdr:colOff>2164557</xdr:colOff>
      <xdr:row>78</xdr:row>
      <xdr:rowOff>1285478</xdr:rowOff>
    </xdr:to>
    <xdr:pic>
      <xdr:nvPicPr>
        <xdr:cNvPr id="157" name="Picture 156" descr="Insight Picture 156">
          <a:extLst>
            <a:ext uri="{FF2B5EF4-FFF2-40B4-BE49-F238E27FC236}">
              <a16:creationId xmlns:a16="http://schemas.microsoft.com/office/drawing/2014/main" id="{8E40924C-0A09-A943-483B-47D6B4A1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07219" y="83871197"/>
          <a:ext cx="15573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79</xdr:row>
      <xdr:rowOff>63103</xdr:rowOff>
    </xdr:from>
    <xdr:to>
      <xdr:col>0</xdr:col>
      <xdr:colOff>1993107</xdr:colOff>
      <xdr:row>79</xdr:row>
      <xdr:rowOff>1152922</xdr:rowOff>
    </xdr:to>
    <xdr:pic>
      <xdr:nvPicPr>
        <xdr:cNvPr id="159" name="Picture 158" descr="Insight Picture 158">
          <a:extLst>
            <a:ext uri="{FF2B5EF4-FFF2-40B4-BE49-F238E27FC236}">
              <a16:creationId xmlns:a16="http://schemas.microsoft.com/office/drawing/2014/main" id="{A39D5758-AE0F-2417-4D89-4DC51A2B8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78669" y="85216603"/>
          <a:ext cx="1214438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253603</xdr:colOff>
      <xdr:row>80</xdr:row>
      <xdr:rowOff>59531</xdr:rowOff>
    </xdr:from>
    <xdr:to>
      <xdr:col>1</xdr:col>
      <xdr:colOff>114697</xdr:colOff>
      <xdr:row>80</xdr:row>
      <xdr:rowOff>1273969</xdr:rowOff>
    </xdr:to>
    <xdr:pic>
      <xdr:nvPicPr>
        <xdr:cNvPr id="161" name="Picture 160" descr="Insight Picture 160">
          <a:extLst>
            <a:ext uri="{FF2B5EF4-FFF2-40B4-BE49-F238E27FC236}">
              <a16:creationId xmlns:a16="http://schemas.microsoft.com/office/drawing/2014/main" id="{3581C972-4262-EA68-5D9A-69D63DE4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53603" y="86432231"/>
          <a:ext cx="226456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81</xdr:row>
      <xdr:rowOff>60722</xdr:rowOff>
    </xdr:from>
    <xdr:to>
      <xdr:col>0</xdr:col>
      <xdr:colOff>2028825</xdr:colOff>
      <xdr:row>81</xdr:row>
      <xdr:rowOff>1285478</xdr:rowOff>
    </xdr:to>
    <xdr:pic>
      <xdr:nvPicPr>
        <xdr:cNvPr id="163" name="Picture 162" descr="Insight Picture 162">
          <a:extLst>
            <a:ext uri="{FF2B5EF4-FFF2-40B4-BE49-F238E27FC236}">
              <a16:creationId xmlns:a16="http://schemas.microsoft.com/office/drawing/2014/main" id="{F5A0F7D5-3A39-967A-0329-717F1F37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42950" y="87766922"/>
          <a:ext cx="12858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728663</xdr:colOff>
      <xdr:row>82</xdr:row>
      <xdr:rowOff>60722</xdr:rowOff>
    </xdr:from>
    <xdr:to>
      <xdr:col>0</xdr:col>
      <xdr:colOff>2049463</xdr:colOff>
      <xdr:row>82</xdr:row>
      <xdr:rowOff>1285478</xdr:rowOff>
    </xdr:to>
    <xdr:pic>
      <xdr:nvPicPr>
        <xdr:cNvPr id="165" name="Picture 164" descr="Insight Picture 164">
          <a:extLst>
            <a:ext uri="{FF2B5EF4-FFF2-40B4-BE49-F238E27FC236}">
              <a16:creationId xmlns:a16="http://schemas.microsoft.com/office/drawing/2014/main" id="{810A0DE4-C185-518D-DC9A-0D7F9E8E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28663" y="89109947"/>
          <a:ext cx="13144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453628</xdr:colOff>
      <xdr:row>83</xdr:row>
      <xdr:rowOff>63103</xdr:rowOff>
    </xdr:from>
    <xdr:to>
      <xdr:col>0</xdr:col>
      <xdr:colOff>2311797</xdr:colOff>
      <xdr:row>83</xdr:row>
      <xdr:rowOff>1130697</xdr:rowOff>
    </xdr:to>
    <xdr:pic>
      <xdr:nvPicPr>
        <xdr:cNvPr id="167" name="Picture 166" descr="Insight Picture 166">
          <a:extLst>
            <a:ext uri="{FF2B5EF4-FFF2-40B4-BE49-F238E27FC236}">
              <a16:creationId xmlns:a16="http://schemas.microsoft.com/office/drawing/2014/main" id="{4A9CD6FD-9F29-C645-740A-322E44C46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53628" y="90455353"/>
          <a:ext cx="1864519" cy="1064419"/>
        </a:xfrm>
        <a:prstGeom prst="rect">
          <a:avLst/>
        </a:prstGeom>
      </xdr:spPr>
    </xdr:pic>
    <xdr:clientData/>
  </xdr:twoCellAnchor>
  <xdr:twoCellAnchor editAs="oneCell">
    <xdr:from>
      <xdr:col>0</xdr:col>
      <xdr:colOff>796528</xdr:colOff>
      <xdr:row>84</xdr:row>
      <xdr:rowOff>60722</xdr:rowOff>
    </xdr:from>
    <xdr:to>
      <xdr:col>0</xdr:col>
      <xdr:colOff>1968897</xdr:colOff>
      <xdr:row>84</xdr:row>
      <xdr:rowOff>793353</xdr:rowOff>
    </xdr:to>
    <xdr:pic>
      <xdr:nvPicPr>
        <xdr:cNvPr id="169" name="Picture 168" descr="Insight Picture 168">
          <a:extLst>
            <a:ext uri="{FF2B5EF4-FFF2-40B4-BE49-F238E27FC236}">
              <a16:creationId xmlns:a16="http://schemas.microsoft.com/office/drawing/2014/main" id="{F8874133-A20E-88EA-F815-7C808331A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96528" y="91643597"/>
          <a:ext cx="1178719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607219</xdr:colOff>
      <xdr:row>85</xdr:row>
      <xdr:rowOff>60722</xdr:rowOff>
    </xdr:from>
    <xdr:to>
      <xdr:col>0</xdr:col>
      <xdr:colOff>2164557</xdr:colOff>
      <xdr:row>85</xdr:row>
      <xdr:rowOff>1285478</xdr:rowOff>
    </xdr:to>
    <xdr:pic>
      <xdr:nvPicPr>
        <xdr:cNvPr id="171" name="Picture 170" descr="Insight Picture 170">
          <a:extLst>
            <a:ext uri="{FF2B5EF4-FFF2-40B4-BE49-F238E27FC236}">
              <a16:creationId xmlns:a16="http://schemas.microsoft.com/office/drawing/2014/main" id="{9D815901-530F-28D4-CDF4-7CD75DF5C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07219" y="92500847"/>
          <a:ext cx="15573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86</xdr:row>
      <xdr:rowOff>60722</xdr:rowOff>
    </xdr:from>
    <xdr:to>
      <xdr:col>0</xdr:col>
      <xdr:colOff>2054225</xdr:colOff>
      <xdr:row>86</xdr:row>
      <xdr:rowOff>1285478</xdr:rowOff>
    </xdr:to>
    <xdr:pic>
      <xdr:nvPicPr>
        <xdr:cNvPr id="173" name="Picture 172" descr="Insight Picture 172">
          <a:extLst>
            <a:ext uri="{FF2B5EF4-FFF2-40B4-BE49-F238E27FC236}">
              <a16:creationId xmlns:a16="http://schemas.microsoft.com/office/drawing/2014/main" id="{0BF2F6C0-3D30-3791-A564-F81CE3ABB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14375" y="93843872"/>
          <a:ext cx="13430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87</xdr:row>
      <xdr:rowOff>63103</xdr:rowOff>
    </xdr:from>
    <xdr:to>
      <xdr:col>0</xdr:col>
      <xdr:colOff>1882775</xdr:colOff>
      <xdr:row>87</xdr:row>
      <xdr:rowOff>844947</xdr:rowOff>
    </xdr:to>
    <xdr:pic>
      <xdr:nvPicPr>
        <xdr:cNvPr id="175" name="Picture 174" descr="Insight Picture 174">
          <a:extLst>
            <a:ext uri="{FF2B5EF4-FFF2-40B4-BE49-F238E27FC236}">
              <a16:creationId xmlns:a16="http://schemas.microsoft.com/office/drawing/2014/main" id="{D63C9CC6-E08D-D1D5-1122-82652337C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85825" y="95189278"/>
          <a:ext cx="1000125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810815</xdr:colOff>
      <xdr:row>88</xdr:row>
      <xdr:rowOff>60722</xdr:rowOff>
    </xdr:from>
    <xdr:to>
      <xdr:col>0</xdr:col>
      <xdr:colOff>1964134</xdr:colOff>
      <xdr:row>88</xdr:row>
      <xdr:rowOff>1285478</xdr:rowOff>
    </xdr:to>
    <xdr:pic>
      <xdr:nvPicPr>
        <xdr:cNvPr id="177" name="Picture 176" descr="Insight Picture 176">
          <a:extLst>
            <a:ext uri="{FF2B5EF4-FFF2-40B4-BE49-F238E27FC236}">
              <a16:creationId xmlns:a16="http://schemas.microsoft.com/office/drawing/2014/main" id="{69561F54-4592-E102-E01B-1225AF2AD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10815" y="96091772"/>
          <a:ext cx="11501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517922</xdr:colOff>
      <xdr:row>89</xdr:row>
      <xdr:rowOff>61913</xdr:rowOff>
    </xdr:from>
    <xdr:to>
      <xdr:col>0</xdr:col>
      <xdr:colOff>2260203</xdr:colOff>
      <xdr:row>89</xdr:row>
      <xdr:rowOff>808038</xdr:rowOff>
    </xdr:to>
    <xdr:pic>
      <xdr:nvPicPr>
        <xdr:cNvPr id="179" name="Picture 178" descr="Insight Picture 178">
          <a:extLst>
            <a:ext uri="{FF2B5EF4-FFF2-40B4-BE49-F238E27FC236}">
              <a16:creationId xmlns:a16="http://schemas.microsoft.com/office/drawing/2014/main" id="{63E7DF6F-850D-75ED-9DC8-39CBFF752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17922" y="97435988"/>
          <a:ext cx="173593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90</xdr:row>
      <xdr:rowOff>63103</xdr:rowOff>
    </xdr:from>
    <xdr:to>
      <xdr:col>0</xdr:col>
      <xdr:colOff>2192734</xdr:colOff>
      <xdr:row>90</xdr:row>
      <xdr:rowOff>867172</xdr:rowOff>
    </xdr:to>
    <xdr:pic>
      <xdr:nvPicPr>
        <xdr:cNvPr id="181" name="Picture 180" descr="Insight Picture 180">
          <a:extLst>
            <a:ext uri="{FF2B5EF4-FFF2-40B4-BE49-F238E27FC236}">
              <a16:creationId xmlns:a16="http://schemas.microsoft.com/office/drawing/2014/main" id="{A8ECE5BD-8C11-ED83-B89D-E770CD26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82215" y="98303953"/>
          <a:ext cx="1607344" cy="807244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91</xdr:row>
      <xdr:rowOff>60722</xdr:rowOff>
    </xdr:from>
    <xdr:to>
      <xdr:col>0</xdr:col>
      <xdr:colOff>1993107</xdr:colOff>
      <xdr:row>91</xdr:row>
      <xdr:rowOff>850503</xdr:rowOff>
    </xdr:to>
    <xdr:pic>
      <xdr:nvPicPr>
        <xdr:cNvPr id="183" name="Picture 182" descr="Insight Picture 182">
          <a:extLst>
            <a:ext uri="{FF2B5EF4-FFF2-40B4-BE49-F238E27FC236}">
              <a16:creationId xmlns:a16="http://schemas.microsoft.com/office/drawing/2014/main" id="{275739F8-4BA8-F349-51DA-9DA335437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78669" y="99235022"/>
          <a:ext cx="1214438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846535</xdr:colOff>
      <xdr:row>92</xdr:row>
      <xdr:rowOff>60722</xdr:rowOff>
    </xdr:from>
    <xdr:to>
      <xdr:col>0</xdr:col>
      <xdr:colOff>1922066</xdr:colOff>
      <xdr:row>92</xdr:row>
      <xdr:rowOff>1285478</xdr:rowOff>
    </xdr:to>
    <xdr:pic>
      <xdr:nvPicPr>
        <xdr:cNvPr id="185" name="Picture 184" descr="Insight Picture 184">
          <a:extLst>
            <a:ext uri="{FF2B5EF4-FFF2-40B4-BE49-F238E27FC236}">
              <a16:creationId xmlns:a16="http://schemas.microsoft.com/office/drawing/2014/main" id="{BF2EE5FC-45A6-42D4-54D1-B7F5335D9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46535" y="100149422"/>
          <a:ext cx="10787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632222</xdr:colOff>
      <xdr:row>93</xdr:row>
      <xdr:rowOff>60722</xdr:rowOff>
    </xdr:from>
    <xdr:to>
      <xdr:col>0</xdr:col>
      <xdr:colOff>2145903</xdr:colOff>
      <xdr:row>93</xdr:row>
      <xdr:rowOff>1285478</xdr:rowOff>
    </xdr:to>
    <xdr:pic>
      <xdr:nvPicPr>
        <xdr:cNvPr id="187" name="Picture 186" descr="Insight Picture 186">
          <a:extLst>
            <a:ext uri="{FF2B5EF4-FFF2-40B4-BE49-F238E27FC236}">
              <a16:creationId xmlns:a16="http://schemas.microsoft.com/office/drawing/2014/main" id="{4B190CDA-0105-C7FE-5AC2-3FBFA5C5A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32222" y="101492447"/>
          <a:ext cx="15073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682228</xdr:colOff>
      <xdr:row>94</xdr:row>
      <xdr:rowOff>60722</xdr:rowOff>
    </xdr:from>
    <xdr:to>
      <xdr:col>0</xdr:col>
      <xdr:colOff>2083197</xdr:colOff>
      <xdr:row>94</xdr:row>
      <xdr:rowOff>1285478</xdr:rowOff>
    </xdr:to>
    <xdr:pic>
      <xdr:nvPicPr>
        <xdr:cNvPr id="189" name="Picture 188" descr="Insight Picture 188">
          <a:extLst>
            <a:ext uri="{FF2B5EF4-FFF2-40B4-BE49-F238E27FC236}">
              <a16:creationId xmlns:a16="http://schemas.microsoft.com/office/drawing/2014/main" id="{7CADA18D-B6C1-1DEC-8556-8B5FC0CF6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82228" y="102835472"/>
          <a:ext cx="14073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95</xdr:row>
      <xdr:rowOff>60722</xdr:rowOff>
    </xdr:from>
    <xdr:to>
      <xdr:col>0</xdr:col>
      <xdr:colOff>2096294</xdr:colOff>
      <xdr:row>95</xdr:row>
      <xdr:rowOff>1285478</xdr:rowOff>
    </xdr:to>
    <xdr:pic>
      <xdr:nvPicPr>
        <xdr:cNvPr id="191" name="Picture 190" descr="Insight Picture 190">
          <a:extLst>
            <a:ext uri="{FF2B5EF4-FFF2-40B4-BE49-F238E27FC236}">
              <a16:creationId xmlns:a16="http://schemas.microsoft.com/office/drawing/2014/main" id="{F80517FD-FD0D-745B-3B30-641F9779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78656" y="104178497"/>
          <a:ext cx="14144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860822</xdr:colOff>
      <xdr:row>96</xdr:row>
      <xdr:rowOff>61913</xdr:rowOff>
    </xdr:from>
    <xdr:to>
      <xdr:col>0</xdr:col>
      <xdr:colOff>1917303</xdr:colOff>
      <xdr:row>96</xdr:row>
      <xdr:rowOff>865188</xdr:rowOff>
    </xdr:to>
    <xdr:pic>
      <xdr:nvPicPr>
        <xdr:cNvPr id="193" name="Picture 192" descr="Insight Picture 192">
          <a:extLst>
            <a:ext uri="{FF2B5EF4-FFF2-40B4-BE49-F238E27FC236}">
              <a16:creationId xmlns:a16="http://schemas.microsoft.com/office/drawing/2014/main" id="{39F84377-604E-10A2-6C71-F084587DC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60822" y="105522713"/>
          <a:ext cx="1050131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97</xdr:row>
      <xdr:rowOff>61913</xdr:rowOff>
    </xdr:from>
    <xdr:to>
      <xdr:col>0</xdr:col>
      <xdr:colOff>2096294</xdr:colOff>
      <xdr:row>97</xdr:row>
      <xdr:rowOff>830263</xdr:rowOff>
    </xdr:to>
    <xdr:pic>
      <xdr:nvPicPr>
        <xdr:cNvPr id="195" name="Picture 194" descr="Insight Picture 194">
          <a:extLst>
            <a:ext uri="{FF2B5EF4-FFF2-40B4-BE49-F238E27FC236}">
              <a16:creationId xmlns:a16="http://schemas.microsoft.com/office/drawing/2014/main" id="{274483B4-1CAA-27DB-3E59-7620C7304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78656" y="106446638"/>
          <a:ext cx="1414463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98</xdr:row>
      <xdr:rowOff>63103</xdr:rowOff>
    </xdr:from>
    <xdr:to>
      <xdr:col>0</xdr:col>
      <xdr:colOff>2125266</xdr:colOff>
      <xdr:row>98</xdr:row>
      <xdr:rowOff>844947</xdr:rowOff>
    </xdr:to>
    <xdr:pic>
      <xdr:nvPicPr>
        <xdr:cNvPr id="197" name="Picture 196" descr="Insight Picture 196">
          <a:extLst>
            <a:ext uri="{FF2B5EF4-FFF2-40B4-BE49-F238E27FC236}">
              <a16:creationId xmlns:a16="http://schemas.microsoft.com/office/drawing/2014/main" id="{BCA5EEF5-4C6B-92C1-920B-CCC304694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46510" y="107343178"/>
          <a:ext cx="1478756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99</xdr:row>
      <xdr:rowOff>61913</xdr:rowOff>
    </xdr:from>
    <xdr:to>
      <xdr:col>0</xdr:col>
      <xdr:colOff>1882775</xdr:colOff>
      <xdr:row>99</xdr:row>
      <xdr:rowOff>1150938</xdr:rowOff>
    </xdr:to>
    <xdr:pic>
      <xdr:nvPicPr>
        <xdr:cNvPr id="199" name="Picture 198" descr="Insight Picture 198">
          <a:extLst>
            <a:ext uri="{FF2B5EF4-FFF2-40B4-BE49-F238E27FC236}">
              <a16:creationId xmlns:a16="http://schemas.microsoft.com/office/drawing/2014/main" id="{F7AFB584-A055-4750-419A-67E70A83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85825" y="108246863"/>
          <a:ext cx="1000125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1010841</xdr:colOff>
      <xdr:row>100</xdr:row>
      <xdr:rowOff>63103</xdr:rowOff>
    </xdr:from>
    <xdr:to>
      <xdr:col>0</xdr:col>
      <xdr:colOff>1760935</xdr:colOff>
      <xdr:row>100</xdr:row>
      <xdr:rowOff>581422</xdr:rowOff>
    </xdr:to>
    <xdr:pic>
      <xdr:nvPicPr>
        <xdr:cNvPr id="201" name="Picture 200" descr="Insight Picture 200">
          <a:extLst>
            <a:ext uri="{FF2B5EF4-FFF2-40B4-BE49-F238E27FC236}">
              <a16:creationId xmlns:a16="http://schemas.microsoft.com/office/drawing/2014/main" id="{2259DABB-6871-3CEA-5445-883EC1A69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010841" y="109457728"/>
          <a:ext cx="750094" cy="521494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101</xdr:row>
      <xdr:rowOff>63103</xdr:rowOff>
    </xdr:from>
    <xdr:to>
      <xdr:col>0</xdr:col>
      <xdr:colOff>1711325</xdr:colOff>
      <xdr:row>101</xdr:row>
      <xdr:rowOff>673497</xdr:rowOff>
    </xdr:to>
    <xdr:pic>
      <xdr:nvPicPr>
        <xdr:cNvPr id="203" name="Picture 202" descr="Insight Picture 202">
          <a:extLst>
            <a:ext uri="{FF2B5EF4-FFF2-40B4-BE49-F238E27FC236}">
              <a16:creationId xmlns:a16="http://schemas.microsoft.com/office/drawing/2014/main" id="{2EC35BB1-1370-1D37-4D2A-194ABB84B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57275" y="110105428"/>
          <a:ext cx="657225" cy="607219"/>
        </a:xfrm>
        <a:prstGeom prst="rect">
          <a:avLst/>
        </a:prstGeom>
      </xdr:spPr>
    </xdr:pic>
    <xdr:clientData/>
  </xdr:twoCellAnchor>
  <xdr:twoCellAnchor editAs="oneCell">
    <xdr:from>
      <xdr:col>0</xdr:col>
      <xdr:colOff>835819</xdr:colOff>
      <xdr:row>102</xdr:row>
      <xdr:rowOff>60722</xdr:rowOff>
    </xdr:from>
    <xdr:to>
      <xdr:col>0</xdr:col>
      <xdr:colOff>1935957</xdr:colOff>
      <xdr:row>102</xdr:row>
      <xdr:rowOff>1285478</xdr:rowOff>
    </xdr:to>
    <xdr:pic>
      <xdr:nvPicPr>
        <xdr:cNvPr id="205" name="Picture 204" descr="Insight Picture 204">
          <a:extLst>
            <a:ext uri="{FF2B5EF4-FFF2-40B4-BE49-F238E27FC236}">
              <a16:creationId xmlns:a16="http://schemas.microsoft.com/office/drawing/2014/main" id="{A03B5B09-4BB6-C9E8-DFB7-ECAEE8E3B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35819" y="110836472"/>
          <a:ext cx="11001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103</xdr:row>
      <xdr:rowOff>60722</xdr:rowOff>
    </xdr:from>
    <xdr:to>
      <xdr:col>1</xdr:col>
      <xdr:colOff>101600</xdr:colOff>
      <xdr:row>103</xdr:row>
      <xdr:rowOff>599678</xdr:rowOff>
    </xdr:to>
    <xdr:pic>
      <xdr:nvPicPr>
        <xdr:cNvPr id="207" name="Picture 206" descr="Insight Picture 206">
          <a:extLst>
            <a:ext uri="{FF2B5EF4-FFF2-40B4-BE49-F238E27FC236}">
              <a16:creationId xmlns:a16="http://schemas.microsoft.com/office/drawing/2014/main" id="{FFE07DF2-9896-0F0F-BCFD-3357BA20B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57175" y="112179497"/>
          <a:ext cx="2257425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104</xdr:row>
      <xdr:rowOff>61913</xdr:rowOff>
    </xdr:from>
    <xdr:to>
      <xdr:col>0</xdr:col>
      <xdr:colOff>1993107</xdr:colOff>
      <xdr:row>104</xdr:row>
      <xdr:rowOff>887413</xdr:rowOff>
    </xdr:to>
    <xdr:pic>
      <xdr:nvPicPr>
        <xdr:cNvPr id="209" name="Picture 208" descr="Insight Picture 208">
          <a:extLst>
            <a:ext uri="{FF2B5EF4-FFF2-40B4-BE49-F238E27FC236}">
              <a16:creationId xmlns:a16="http://schemas.microsoft.com/office/drawing/2014/main" id="{615609F8-408A-25D0-AE40-530CD93F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78669" y="112837913"/>
          <a:ext cx="1214438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105</xdr:row>
      <xdr:rowOff>63103</xdr:rowOff>
    </xdr:from>
    <xdr:to>
      <xdr:col>0</xdr:col>
      <xdr:colOff>1882775</xdr:colOff>
      <xdr:row>105</xdr:row>
      <xdr:rowOff>902097</xdr:rowOff>
    </xdr:to>
    <xdr:pic>
      <xdr:nvPicPr>
        <xdr:cNvPr id="211" name="Picture 210" descr="Insight Picture 210">
          <a:extLst>
            <a:ext uri="{FF2B5EF4-FFF2-40B4-BE49-F238E27FC236}">
              <a16:creationId xmlns:a16="http://schemas.microsoft.com/office/drawing/2014/main" id="{6E518426-054A-DA9A-CC2B-EE32FF43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85825" y="113791603"/>
          <a:ext cx="1000125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1014413</xdr:colOff>
      <xdr:row>106</xdr:row>
      <xdr:rowOff>63103</xdr:rowOff>
    </xdr:from>
    <xdr:to>
      <xdr:col>0</xdr:col>
      <xdr:colOff>1763713</xdr:colOff>
      <xdr:row>106</xdr:row>
      <xdr:rowOff>844947</xdr:rowOff>
    </xdr:to>
    <xdr:pic>
      <xdr:nvPicPr>
        <xdr:cNvPr id="213" name="Picture 212" descr="Insight Picture 212">
          <a:extLst>
            <a:ext uri="{FF2B5EF4-FFF2-40B4-BE49-F238E27FC236}">
              <a16:creationId xmlns:a16="http://schemas.microsoft.com/office/drawing/2014/main" id="{E0EDEE48-446B-78EF-3946-08F3DAF6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14413" y="114753628"/>
          <a:ext cx="742950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107</xdr:row>
      <xdr:rowOff>63103</xdr:rowOff>
    </xdr:from>
    <xdr:to>
      <xdr:col>0</xdr:col>
      <xdr:colOff>2067322</xdr:colOff>
      <xdr:row>107</xdr:row>
      <xdr:rowOff>844947</xdr:rowOff>
    </xdr:to>
    <xdr:pic>
      <xdr:nvPicPr>
        <xdr:cNvPr id="215" name="Picture 214" descr="Insight Picture 214">
          <a:extLst>
            <a:ext uri="{FF2B5EF4-FFF2-40B4-BE49-F238E27FC236}">
              <a16:creationId xmlns:a16="http://schemas.microsoft.com/office/drawing/2014/main" id="{6D8E5C8F-9B2C-D5ED-4259-AAC6DD9EF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10803" y="11565850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532209</xdr:colOff>
      <xdr:row>108</xdr:row>
      <xdr:rowOff>60722</xdr:rowOff>
    </xdr:from>
    <xdr:to>
      <xdr:col>0</xdr:col>
      <xdr:colOff>2239565</xdr:colOff>
      <xdr:row>108</xdr:row>
      <xdr:rowOff>1285478</xdr:rowOff>
    </xdr:to>
    <xdr:pic>
      <xdr:nvPicPr>
        <xdr:cNvPr id="217" name="Picture 216" descr="Insight Picture 216">
          <a:extLst>
            <a:ext uri="{FF2B5EF4-FFF2-40B4-BE49-F238E27FC236}">
              <a16:creationId xmlns:a16="http://schemas.microsoft.com/office/drawing/2014/main" id="{5D6D8AD4-8E68-B8DA-1C31-B4A27425F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532209" y="116560997"/>
          <a:ext cx="170735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109</xdr:row>
      <xdr:rowOff>60722</xdr:rowOff>
    </xdr:from>
    <xdr:to>
      <xdr:col>0</xdr:col>
      <xdr:colOff>2064544</xdr:colOff>
      <xdr:row>109</xdr:row>
      <xdr:rowOff>1285478</xdr:rowOff>
    </xdr:to>
    <xdr:pic>
      <xdr:nvPicPr>
        <xdr:cNvPr id="219" name="Picture 218" descr="Insight Picture 218">
          <a:extLst>
            <a:ext uri="{FF2B5EF4-FFF2-40B4-BE49-F238E27FC236}">
              <a16:creationId xmlns:a16="http://schemas.microsoft.com/office/drawing/2014/main" id="{89B6A20D-3142-223C-6747-A8E7AEF2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07231" y="117904022"/>
          <a:ext cx="13573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907256</xdr:colOff>
      <xdr:row>110</xdr:row>
      <xdr:rowOff>60722</xdr:rowOff>
    </xdr:from>
    <xdr:to>
      <xdr:col>0</xdr:col>
      <xdr:colOff>1867694</xdr:colOff>
      <xdr:row>110</xdr:row>
      <xdr:rowOff>1285478</xdr:rowOff>
    </xdr:to>
    <xdr:pic>
      <xdr:nvPicPr>
        <xdr:cNvPr id="221" name="Picture 220" descr="Insight Picture 220">
          <a:extLst>
            <a:ext uri="{FF2B5EF4-FFF2-40B4-BE49-F238E27FC236}">
              <a16:creationId xmlns:a16="http://schemas.microsoft.com/office/drawing/2014/main" id="{D05DDCCE-21F2-FF66-833E-0B5BC525B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907256" y="119247047"/>
          <a:ext cx="9572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364331</xdr:colOff>
      <xdr:row>111</xdr:row>
      <xdr:rowOff>63103</xdr:rowOff>
    </xdr:from>
    <xdr:to>
      <xdr:col>0</xdr:col>
      <xdr:colOff>2407444</xdr:colOff>
      <xdr:row>111</xdr:row>
      <xdr:rowOff>787797</xdr:rowOff>
    </xdr:to>
    <xdr:pic>
      <xdr:nvPicPr>
        <xdr:cNvPr id="223" name="Picture 222" descr="Insight Picture 222">
          <a:extLst>
            <a:ext uri="{FF2B5EF4-FFF2-40B4-BE49-F238E27FC236}">
              <a16:creationId xmlns:a16="http://schemas.microsoft.com/office/drawing/2014/main" id="{5637AB0D-4688-059C-B3D2-B5DB8BE7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64331" y="120592453"/>
          <a:ext cx="2043113" cy="721519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112</xdr:row>
      <xdr:rowOff>60722</xdr:rowOff>
    </xdr:from>
    <xdr:to>
      <xdr:col>0</xdr:col>
      <xdr:colOff>2036366</xdr:colOff>
      <xdr:row>112</xdr:row>
      <xdr:rowOff>1285478</xdr:rowOff>
    </xdr:to>
    <xdr:pic>
      <xdr:nvPicPr>
        <xdr:cNvPr id="225" name="Picture 224" descr="Insight Picture 224">
          <a:extLst>
            <a:ext uri="{FF2B5EF4-FFF2-40B4-BE49-F238E27FC236}">
              <a16:creationId xmlns:a16="http://schemas.microsoft.com/office/drawing/2014/main" id="{2923C15B-9D04-D44E-0ACF-FC2BA3686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32235" y="121437797"/>
          <a:ext cx="13073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113</xdr:row>
      <xdr:rowOff>59531</xdr:rowOff>
    </xdr:from>
    <xdr:to>
      <xdr:col>0</xdr:col>
      <xdr:colOff>2064544</xdr:colOff>
      <xdr:row>113</xdr:row>
      <xdr:rowOff>1273969</xdr:rowOff>
    </xdr:to>
    <xdr:pic>
      <xdr:nvPicPr>
        <xdr:cNvPr id="227" name="Picture 226" descr="Insight Picture 226">
          <a:extLst>
            <a:ext uri="{FF2B5EF4-FFF2-40B4-BE49-F238E27FC236}">
              <a16:creationId xmlns:a16="http://schemas.microsoft.com/office/drawing/2014/main" id="{C0DDD559-3317-D1A0-4F4B-8F86C55A5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07231" y="122779631"/>
          <a:ext cx="1357313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410766</xdr:colOff>
      <xdr:row>114</xdr:row>
      <xdr:rowOff>60722</xdr:rowOff>
    </xdr:from>
    <xdr:to>
      <xdr:col>0</xdr:col>
      <xdr:colOff>2364185</xdr:colOff>
      <xdr:row>114</xdr:row>
      <xdr:rowOff>999728</xdr:rowOff>
    </xdr:to>
    <xdr:pic>
      <xdr:nvPicPr>
        <xdr:cNvPr id="229" name="Picture 228" descr="Insight Picture 228">
          <a:extLst>
            <a:ext uri="{FF2B5EF4-FFF2-40B4-BE49-F238E27FC236}">
              <a16:creationId xmlns:a16="http://schemas.microsoft.com/office/drawing/2014/main" id="{99551417-1CFC-3894-C61B-47881F88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10766" y="124114322"/>
          <a:ext cx="1950244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115</xdr:row>
      <xdr:rowOff>63103</xdr:rowOff>
    </xdr:from>
    <xdr:to>
      <xdr:col>0</xdr:col>
      <xdr:colOff>2339975</xdr:colOff>
      <xdr:row>115</xdr:row>
      <xdr:rowOff>1130697</xdr:rowOff>
    </xdr:to>
    <xdr:pic>
      <xdr:nvPicPr>
        <xdr:cNvPr id="231" name="Picture 230" descr="Insight Picture 230">
          <a:extLst>
            <a:ext uri="{FF2B5EF4-FFF2-40B4-BE49-F238E27FC236}">
              <a16:creationId xmlns:a16="http://schemas.microsoft.com/office/drawing/2014/main" id="{EE9249E8-68C0-4C81-7FFC-57A80937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28625" y="125173978"/>
          <a:ext cx="1914525" cy="1064419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116</xdr:row>
      <xdr:rowOff>60722</xdr:rowOff>
    </xdr:from>
    <xdr:to>
      <xdr:col>0</xdr:col>
      <xdr:colOff>2088753</xdr:colOff>
      <xdr:row>116</xdr:row>
      <xdr:rowOff>793353</xdr:rowOff>
    </xdr:to>
    <xdr:pic>
      <xdr:nvPicPr>
        <xdr:cNvPr id="233" name="Picture 232" descr="Insight Picture 232">
          <a:extLst>
            <a:ext uri="{FF2B5EF4-FFF2-40B4-BE49-F238E27FC236}">
              <a16:creationId xmlns:a16="http://schemas.microsoft.com/office/drawing/2014/main" id="{9AD378DC-FADA-1865-1CFE-7C05FF6B7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89372" y="126362222"/>
          <a:ext cx="1393031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632222</xdr:colOff>
      <xdr:row>117</xdr:row>
      <xdr:rowOff>61913</xdr:rowOff>
    </xdr:from>
    <xdr:to>
      <xdr:col>0</xdr:col>
      <xdr:colOff>2145903</xdr:colOff>
      <xdr:row>117</xdr:row>
      <xdr:rowOff>1265238</xdr:rowOff>
    </xdr:to>
    <xdr:pic>
      <xdr:nvPicPr>
        <xdr:cNvPr id="235" name="Picture 234" descr="Insight Picture 234">
          <a:extLst>
            <a:ext uri="{FF2B5EF4-FFF2-40B4-BE49-F238E27FC236}">
              <a16:creationId xmlns:a16="http://schemas.microsoft.com/office/drawing/2014/main" id="{A4BE620A-D107-F9A4-7B8C-74676D872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32222" y="127220663"/>
          <a:ext cx="1507331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118</xdr:row>
      <xdr:rowOff>63103</xdr:rowOff>
    </xdr:from>
    <xdr:to>
      <xdr:col>0</xdr:col>
      <xdr:colOff>1950244</xdr:colOff>
      <xdr:row>118</xdr:row>
      <xdr:rowOff>1152922</xdr:rowOff>
    </xdr:to>
    <xdr:pic>
      <xdr:nvPicPr>
        <xdr:cNvPr id="237" name="Picture 236" descr="Insight Picture 236">
          <a:extLst>
            <a:ext uri="{FF2B5EF4-FFF2-40B4-BE49-F238E27FC236}">
              <a16:creationId xmlns:a16="http://schemas.microsoft.com/office/drawing/2014/main" id="{44435BFA-FFFE-F9F0-00E9-F6EFF563C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821531" y="128545828"/>
          <a:ext cx="1128713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119</xdr:row>
      <xdr:rowOff>60722</xdr:rowOff>
    </xdr:from>
    <xdr:to>
      <xdr:col>0</xdr:col>
      <xdr:colOff>2161778</xdr:colOff>
      <xdr:row>119</xdr:row>
      <xdr:rowOff>1056878</xdr:rowOff>
    </xdr:to>
    <xdr:pic>
      <xdr:nvPicPr>
        <xdr:cNvPr id="239" name="Picture 238" descr="Insight Picture 238">
          <a:extLst>
            <a:ext uri="{FF2B5EF4-FFF2-40B4-BE49-F238E27FC236}">
              <a16:creationId xmlns:a16="http://schemas.microsoft.com/office/drawing/2014/main" id="{D0F319EF-5982-AABD-6267-FC26F800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03647" y="129762647"/>
          <a:ext cx="1564481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835819</xdr:colOff>
      <xdr:row>120</xdr:row>
      <xdr:rowOff>63103</xdr:rowOff>
    </xdr:from>
    <xdr:to>
      <xdr:col>0</xdr:col>
      <xdr:colOff>1935957</xdr:colOff>
      <xdr:row>120</xdr:row>
      <xdr:rowOff>1187847</xdr:rowOff>
    </xdr:to>
    <xdr:pic>
      <xdr:nvPicPr>
        <xdr:cNvPr id="241" name="Picture 240" descr="Insight Picture 240">
          <a:extLst>
            <a:ext uri="{FF2B5EF4-FFF2-40B4-BE49-F238E27FC236}">
              <a16:creationId xmlns:a16="http://schemas.microsoft.com/office/drawing/2014/main" id="{B978BF91-B926-ED63-E43C-5BC6E795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835819" y="130879453"/>
          <a:ext cx="1100138" cy="1121569"/>
        </a:xfrm>
        <a:prstGeom prst="rect">
          <a:avLst/>
        </a:prstGeom>
      </xdr:spPr>
    </xdr:pic>
    <xdr:clientData/>
  </xdr:twoCellAnchor>
  <xdr:twoCellAnchor editAs="oneCell">
    <xdr:from>
      <xdr:col>0</xdr:col>
      <xdr:colOff>764381</xdr:colOff>
      <xdr:row>121</xdr:row>
      <xdr:rowOff>63103</xdr:rowOff>
    </xdr:from>
    <xdr:to>
      <xdr:col>0</xdr:col>
      <xdr:colOff>2007394</xdr:colOff>
      <xdr:row>121</xdr:row>
      <xdr:rowOff>1152922</xdr:rowOff>
    </xdr:to>
    <xdr:pic>
      <xdr:nvPicPr>
        <xdr:cNvPr id="243" name="Picture 242" descr="Insight Picture 242">
          <a:extLst>
            <a:ext uri="{FF2B5EF4-FFF2-40B4-BE49-F238E27FC236}">
              <a16:creationId xmlns:a16="http://schemas.microsoft.com/office/drawing/2014/main" id="{77E07DD7-2679-ED46-E6A7-96D8A290F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64381" y="132127228"/>
          <a:ext cx="1243013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122</xdr:row>
      <xdr:rowOff>59531</xdr:rowOff>
    </xdr:from>
    <xdr:to>
      <xdr:col>0</xdr:col>
      <xdr:colOff>2111375</xdr:colOff>
      <xdr:row>122</xdr:row>
      <xdr:rowOff>1159669</xdr:rowOff>
    </xdr:to>
    <xdr:pic>
      <xdr:nvPicPr>
        <xdr:cNvPr id="245" name="Picture 244" descr="Insight Picture 244">
          <a:extLst>
            <a:ext uri="{FF2B5EF4-FFF2-40B4-BE49-F238E27FC236}">
              <a16:creationId xmlns:a16="http://schemas.microsoft.com/office/drawing/2014/main" id="{CC59AABD-40F3-1EDF-26D3-2E3DE954A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57225" y="133342856"/>
          <a:ext cx="1457325" cy="1100138"/>
        </a:xfrm>
        <a:prstGeom prst="rect">
          <a:avLst/>
        </a:prstGeom>
      </xdr:spPr>
    </xdr:pic>
    <xdr:clientData/>
  </xdr:twoCellAnchor>
  <xdr:twoCellAnchor editAs="oneCell">
    <xdr:from>
      <xdr:col>0</xdr:col>
      <xdr:colOff>739378</xdr:colOff>
      <xdr:row>123</xdr:row>
      <xdr:rowOff>63103</xdr:rowOff>
    </xdr:from>
    <xdr:to>
      <xdr:col>0</xdr:col>
      <xdr:colOff>2026047</xdr:colOff>
      <xdr:row>123</xdr:row>
      <xdr:rowOff>1152922</xdr:rowOff>
    </xdr:to>
    <xdr:pic>
      <xdr:nvPicPr>
        <xdr:cNvPr id="247" name="Picture 246" descr="Insight Picture 246">
          <a:extLst>
            <a:ext uri="{FF2B5EF4-FFF2-40B4-BE49-F238E27FC236}">
              <a16:creationId xmlns:a16="http://schemas.microsoft.com/office/drawing/2014/main" id="{FFFBD1B1-2507-5FBF-1794-6D66F32EA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39378" y="134565628"/>
          <a:ext cx="1293019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814388</xdr:colOff>
      <xdr:row>124</xdr:row>
      <xdr:rowOff>59531</xdr:rowOff>
    </xdr:from>
    <xdr:to>
      <xdr:col>0</xdr:col>
      <xdr:colOff>1951038</xdr:colOff>
      <xdr:row>124</xdr:row>
      <xdr:rowOff>1134269</xdr:rowOff>
    </xdr:to>
    <xdr:pic>
      <xdr:nvPicPr>
        <xdr:cNvPr id="249" name="Picture 248" descr="Insight Picture 248">
          <a:extLst>
            <a:ext uri="{FF2B5EF4-FFF2-40B4-BE49-F238E27FC236}">
              <a16:creationId xmlns:a16="http://schemas.microsoft.com/office/drawing/2014/main" id="{7337C7B0-B27E-9779-D4AE-AB7C08113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814388" y="135781256"/>
          <a:ext cx="1143000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125</xdr:row>
      <xdr:rowOff>63103</xdr:rowOff>
    </xdr:from>
    <xdr:to>
      <xdr:col>0</xdr:col>
      <xdr:colOff>1904207</xdr:colOff>
      <xdr:row>125</xdr:row>
      <xdr:rowOff>1152922</xdr:rowOff>
    </xdr:to>
    <xdr:pic>
      <xdr:nvPicPr>
        <xdr:cNvPr id="251" name="Picture 250" descr="Insight Picture 250">
          <a:extLst>
            <a:ext uri="{FF2B5EF4-FFF2-40B4-BE49-F238E27FC236}">
              <a16:creationId xmlns:a16="http://schemas.microsoft.com/office/drawing/2014/main" id="{41880666-91C1-7833-0F18-DF208F90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864394" y="136975453"/>
          <a:ext cx="1042988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126</xdr:row>
      <xdr:rowOff>61913</xdr:rowOff>
    </xdr:from>
    <xdr:to>
      <xdr:col>0</xdr:col>
      <xdr:colOff>2075657</xdr:colOff>
      <xdr:row>126</xdr:row>
      <xdr:rowOff>887413</xdr:rowOff>
    </xdr:to>
    <xdr:pic>
      <xdr:nvPicPr>
        <xdr:cNvPr id="253" name="Picture 252" descr="Insight Picture 252">
          <a:extLst>
            <a:ext uri="{FF2B5EF4-FFF2-40B4-BE49-F238E27FC236}">
              <a16:creationId xmlns:a16="http://schemas.microsoft.com/office/drawing/2014/main" id="{0D6C992D-E1BA-7ACA-5827-0C8D164A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92944" y="138193463"/>
          <a:ext cx="1385888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1042988</xdr:colOff>
      <xdr:row>127</xdr:row>
      <xdr:rowOff>63103</xdr:rowOff>
    </xdr:from>
    <xdr:to>
      <xdr:col>0</xdr:col>
      <xdr:colOff>1722438</xdr:colOff>
      <xdr:row>127</xdr:row>
      <xdr:rowOff>1152922</xdr:rowOff>
    </xdr:to>
    <xdr:pic>
      <xdr:nvPicPr>
        <xdr:cNvPr id="255" name="Picture 254" descr="Insight Picture 254">
          <a:extLst>
            <a:ext uri="{FF2B5EF4-FFF2-40B4-BE49-F238E27FC236}">
              <a16:creationId xmlns:a16="http://schemas.microsoft.com/office/drawing/2014/main" id="{BEA5D9A1-DF5B-F002-B015-EF4CF2CA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042988" y="139147153"/>
          <a:ext cx="685800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721519</xdr:colOff>
      <xdr:row>128</xdr:row>
      <xdr:rowOff>60722</xdr:rowOff>
    </xdr:from>
    <xdr:to>
      <xdr:col>0</xdr:col>
      <xdr:colOff>2050257</xdr:colOff>
      <xdr:row>128</xdr:row>
      <xdr:rowOff>1285478</xdr:rowOff>
    </xdr:to>
    <xdr:pic>
      <xdr:nvPicPr>
        <xdr:cNvPr id="257" name="Picture 256" descr="Insight Picture 256">
          <a:extLst>
            <a:ext uri="{FF2B5EF4-FFF2-40B4-BE49-F238E27FC236}">
              <a16:creationId xmlns:a16="http://schemas.microsoft.com/office/drawing/2014/main" id="{4F2493FE-7E60-2A24-19D1-AFA79C14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21519" y="140363972"/>
          <a:ext cx="13287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129</xdr:row>
      <xdr:rowOff>61913</xdr:rowOff>
    </xdr:from>
    <xdr:to>
      <xdr:col>0</xdr:col>
      <xdr:colOff>2036366</xdr:colOff>
      <xdr:row>129</xdr:row>
      <xdr:rowOff>808038</xdr:rowOff>
    </xdr:to>
    <xdr:pic>
      <xdr:nvPicPr>
        <xdr:cNvPr id="259" name="Picture 258" descr="Insight Picture 258">
          <a:extLst>
            <a:ext uri="{FF2B5EF4-FFF2-40B4-BE49-F238E27FC236}">
              <a16:creationId xmlns:a16="http://schemas.microsoft.com/office/drawing/2014/main" id="{D541832B-A78B-211C-2D46-5EE8C3A56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32235" y="141708188"/>
          <a:ext cx="130730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517922</xdr:colOff>
      <xdr:row>130</xdr:row>
      <xdr:rowOff>60722</xdr:rowOff>
    </xdr:from>
    <xdr:to>
      <xdr:col>0</xdr:col>
      <xdr:colOff>2260203</xdr:colOff>
      <xdr:row>130</xdr:row>
      <xdr:rowOff>850503</xdr:rowOff>
    </xdr:to>
    <xdr:pic>
      <xdr:nvPicPr>
        <xdr:cNvPr id="261" name="Picture 260" descr="Insight Picture 260">
          <a:extLst>
            <a:ext uri="{FF2B5EF4-FFF2-40B4-BE49-F238E27FC236}">
              <a16:creationId xmlns:a16="http://schemas.microsoft.com/office/drawing/2014/main" id="{C60F321D-6D51-4082-1189-BDE8E0E3F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17922" y="142573772"/>
          <a:ext cx="1735931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131</xdr:row>
      <xdr:rowOff>60722</xdr:rowOff>
    </xdr:from>
    <xdr:to>
      <xdr:col>0</xdr:col>
      <xdr:colOff>1993107</xdr:colOff>
      <xdr:row>131</xdr:row>
      <xdr:rowOff>999728</xdr:rowOff>
    </xdr:to>
    <xdr:pic>
      <xdr:nvPicPr>
        <xdr:cNvPr id="263" name="Picture 262" descr="Insight Picture 262">
          <a:extLst>
            <a:ext uri="{FF2B5EF4-FFF2-40B4-BE49-F238E27FC236}">
              <a16:creationId xmlns:a16="http://schemas.microsoft.com/office/drawing/2014/main" id="{6D910810-FC40-9B1E-0339-75E171860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778669" y="143488172"/>
          <a:ext cx="1214438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425053</xdr:colOff>
      <xdr:row>132</xdr:row>
      <xdr:rowOff>60722</xdr:rowOff>
    </xdr:from>
    <xdr:to>
      <xdr:col>0</xdr:col>
      <xdr:colOff>2353072</xdr:colOff>
      <xdr:row>132</xdr:row>
      <xdr:rowOff>1021953</xdr:rowOff>
    </xdr:to>
    <xdr:pic>
      <xdr:nvPicPr>
        <xdr:cNvPr id="265" name="Picture 264" descr="Insight Picture 264">
          <a:extLst>
            <a:ext uri="{FF2B5EF4-FFF2-40B4-BE49-F238E27FC236}">
              <a16:creationId xmlns:a16="http://schemas.microsoft.com/office/drawing/2014/main" id="{572FD034-C3F2-8F18-7407-AA2C9C0BD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25053" y="144545447"/>
          <a:ext cx="1921669" cy="964406"/>
        </a:xfrm>
        <a:prstGeom prst="rect">
          <a:avLst/>
        </a:prstGeom>
      </xdr:spPr>
    </xdr:pic>
    <xdr:clientData/>
  </xdr:twoCellAnchor>
  <xdr:twoCellAnchor editAs="oneCell">
    <xdr:from>
      <xdr:col>0</xdr:col>
      <xdr:colOff>1014413</xdr:colOff>
      <xdr:row>133</xdr:row>
      <xdr:rowOff>63103</xdr:rowOff>
    </xdr:from>
    <xdr:to>
      <xdr:col>0</xdr:col>
      <xdr:colOff>1763713</xdr:colOff>
      <xdr:row>133</xdr:row>
      <xdr:rowOff>1038622</xdr:rowOff>
    </xdr:to>
    <xdr:pic>
      <xdr:nvPicPr>
        <xdr:cNvPr id="267" name="Picture 266" descr="Insight Picture 266">
          <a:extLst>
            <a:ext uri="{FF2B5EF4-FFF2-40B4-BE49-F238E27FC236}">
              <a16:creationId xmlns:a16="http://schemas.microsoft.com/office/drawing/2014/main" id="{A0F77E9A-ADFD-7B85-C9D1-F84E1C6B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014413" y="145633678"/>
          <a:ext cx="742950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</xdr:colOff>
      <xdr:row>134</xdr:row>
      <xdr:rowOff>59531</xdr:rowOff>
    </xdr:from>
    <xdr:to>
      <xdr:col>1</xdr:col>
      <xdr:colOff>294481</xdr:colOff>
      <xdr:row>134</xdr:row>
      <xdr:rowOff>1191419</xdr:rowOff>
    </xdr:to>
    <xdr:pic>
      <xdr:nvPicPr>
        <xdr:cNvPr id="269" name="Picture 268" descr="Insight Picture 268">
          <a:extLst>
            <a:ext uri="{FF2B5EF4-FFF2-40B4-BE49-F238E27FC236}">
              <a16:creationId xmlns:a16="http://schemas.microsoft.com/office/drawing/2014/main" id="{F86929F9-9ED7-AF2A-CC14-AE2AB934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4293" y="146735006"/>
          <a:ext cx="2643188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135</xdr:row>
      <xdr:rowOff>60722</xdr:rowOff>
    </xdr:from>
    <xdr:to>
      <xdr:col>0</xdr:col>
      <xdr:colOff>2161778</xdr:colOff>
      <xdr:row>135</xdr:row>
      <xdr:rowOff>793353</xdr:rowOff>
    </xdr:to>
    <xdr:pic>
      <xdr:nvPicPr>
        <xdr:cNvPr id="271" name="Picture 270" descr="Insight Picture 270">
          <a:extLst>
            <a:ext uri="{FF2B5EF4-FFF2-40B4-BE49-F238E27FC236}">
              <a16:creationId xmlns:a16="http://schemas.microsoft.com/office/drawing/2014/main" id="{ECCABE1C-8628-FC50-EF24-9DB301C5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03647" y="147983972"/>
          <a:ext cx="1564481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764381</xdr:colOff>
      <xdr:row>136</xdr:row>
      <xdr:rowOff>60722</xdr:rowOff>
    </xdr:from>
    <xdr:to>
      <xdr:col>0</xdr:col>
      <xdr:colOff>2007394</xdr:colOff>
      <xdr:row>136</xdr:row>
      <xdr:rowOff>1285478</xdr:rowOff>
    </xdr:to>
    <xdr:pic>
      <xdr:nvPicPr>
        <xdr:cNvPr id="273" name="Picture 272" descr="Insight Picture 272">
          <a:extLst>
            <a:ext uri="{FF2B5EF4-FFF2-40B4-BE49-F238E27FC236}">
              <a16:creationId xmlns:a16="http://schemas.microsoft.com/office/drawing/2014/main" id="{DD9B71FC-0949-E3C0-A91D-A15EEF1E8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64381" y="148841222"/>
          <a:ext cx="12430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539353</xdr:colOff>
      <xdr:row>137</xdr:row>
      <xdr:rowOff>60722</xdr:rowOff>
    </xdr:from>
    <xdr:to>
      <xdr:col>0</xdr:col>
      <xdr:colOff>2238772</xdr:colOff>
      <xdr:row>137</xdr:row>
      <xdr:rowOff>1285478</xdr:rowOff>
    </xdr:to>
    <xdr:pic>
      <xdr:nvPicPr>
        <xdr:cNvPr id="275" name="Picture 274" descr="Insight Picture 274">
          <a:extLst>
            <a:ext uri="{FF2B5EF4-FFF2-40B4-BE49-F238E27FC236}">
              <a16:creationId xmlns:a16="http://schemas.microsoft.com/office/drawing/2014/main" id="{85EC5D5C-337D-3191-9FE4-1381DB8CB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539353" y="150184247"/>
          <a:ext cx="169306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735806</xdr:colOff>
      <xdr:row>138</xdr:row>
      <xdr:rowOff>60722</xdr:rowOff>
    </xdr:from>
    <xdr:to>
      <xdr:col>0</xdr:col>
      <xdr:colOff>2039144</xdr:colOff>
      <xdr:row>138</xdr:row>
      <xdr:rowOff>1056878</xdr:rowOff>
    </xdr:to>
    <xdr:pic>
      <xdr:nvPicPr>
        <xdr:cNvPr id="277" name="Picture 276" descr="Insight Picture 276">
          <a:extLst>
            <a:ext uri="{FF2B5EF4-FFF2-40B4-BE49-F238E27FC236}">
              <a16:creationId xmlns:a16="http://schemas.microsoft.com/office/drawing/2014/main" id="{3524E310-4019-63CD-42A4-D121816C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35806" y="151527272"/>
          <a:ext cx="1300163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860822</xdr:colOff>
      <xdr:row>139</xdr:row>
      <xdr:rowOff>63103</xdr:rowOff>
    </xdr:from>
    <xdr:to>
      <xdr:col>0</xdr:col>
      <xdr:colOff>1917303</xdr:colOff>
      <xdr:row>139</xdr:row>
      <xdr:rowOff>1095772</xdr:rowOff>
    </xdr:to>
    <xdr:pic>
      <xdr:nvPicPr>
        <xdr:cNvPr id="279" name="Picture 278" descr="Insight Picture 278">
          <a:extLst>
            <a:ext uri="{FF2B5EF4-FFF2-40B4-BE49-F238E27FC236}">
              <a16:creationId xmlns:a16="http://schemas.microsoft.com/office/drawing/2014/main" id="{75A954F5-12A7-E224-C30A-8DA5D97E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860822" y="152644078"/>
          <a:ext cx="1050131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525066</xdr:colOff>
      <xdr:row>140</xdr:row>
      <xdr:rowOff>59531</xdr:rowOff>
    </xdr:from>
    <xdr:to>
      <xdr:col>0</xdr:col>
      <xdr:colOff>2249885</xdr:colOff>
      <xdr:row>140</xdr:row>
      <xdr:rowOff>702469</xdr:rowOff>
    </xdr:to>
    <xdr:pic>
      <xdr:nvPicPr>
        <xdr:cNvPr id="281" name="Picture 280" descr="Insight Picture 280">
          <a:extLst>
            <a:ext uri="{FF2B5EF4-FFF2-40B4-BE49-F238E27FC236}">
              <a16:creationId xmlns:a16="http://schemas.microsoft.com/office/drawing/2014/main" id="{76315E48-2711-2EA3-0D63-D7BC40F05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25066" y="153802556"/>
          <a:ext cx="1721644" cy="642938"/>
        </a:xfrm>
        <a:prstGeom prst="rect">
          <a:avLst/>
        </a:prstGeom>
      </xdr:spPr>
    </xdr:pic>
    <xdr:clientData/>
  </xdr:twoCellAnchor>
  <xdr:twoCellAnchor editAs="oneCell">
    <xdr:from>
      <xdr:col>0</xdr:col>
      <xdr:colOff>617935</xdr:colOff>
      <xdr:row>141</xdr:row>
      <xdr:rowOff>60722</xdr:rowOff>
    </xdr:from>
    <xdr:to>
      <xdr:col>0</xdr:col>
      <xdr:colOff>2150666</xdr:colOff>
      <xdr:row>141</xdr:row>
      <xdr:rowOff>1285478</xdr:rowOff>
    </xdr:to>
    <xdr:pic>
      <xdr:nvPicPr>
        <xdr:cNvPr id="283" name="Picture 282" descr="Insight Picture 282">
          <a:extLst>
            <a:ext uri="{FF2B5EF4-FFF2-40B4-BE49-F238E27FC236}">
              <a16:creationId xmlns:a16="http://schemas.microsoft.com/office/drawing/2014/main" id="{BB3127F0-1D29-48D9-D119-D0CB54D6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17935" y="154565747"/>
          <a:ext cx="15359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142</xdr:row>
      <xdr:rowOff>59531</xdr:rowOff>
    </xdr:from>
    <xdr:to>
      <xdr:col>0</xdr:col>
      <xdr:colOff>2135584</xdr:colOff>
      <xdr:row>142</xdr:row>
      <xdr:rowOff>1134269</xdr:rowOff>
    </xdr:to>
    <xdr:pic>
      <xdr:nvPicPr>
        <xdr:cNvPr id="285" name="Picture 284" descr="Insight Picture 284">
          <a:extLst>
            <a:ext uri="{FF2B5EF4-FFF2-40B4-BE49-F238E27FC236}">
              <a16:creationId xmlns:a16="http://schemas.microsoft.com/office/drawing/2014/main" id="{6E018648-82F2-F4D0-EB30-1A260584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39365" y="155907581"/>
          <a:ext cx="1493044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510778</xdr:colOff>
      <xdr:row>143</xdr:row>
      <xdr:rowOff>59531</xdr:rowOff>
    </xdr:from>
    <xdr:to>
      <xdr:col>0</xdr:col>
      <xdr:colOff>2254647</xdr:colOff>
      <xdr:row>143</xdr:row>
      <xdr:rowOff>1273969</xdr:rowOff>
    </xdr:to>
    <xdr:pic>
      <xdr:nvPicPr>
        <xdr:cNvPr id="287" name="Picture 286" descr="Insight Picture 286">
          <a:extLst>
            <a:ext uri="{FF2B5EF4-FFF2-40B4-BE49-F238E27FC236}">
              <a16:creationId xmlns:a16="http://schemas.microsoft.com/office/drawing/2014/main" id="{398848CF-023F-63FC-622A-FFF0EFB8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510778" y="157098206"/>
          <a:ext cx="175021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144</xdr:row>
      <xdr:rowOff>61913</xdr:rowOff>
    </xdr:from>
    <xdr:to>
      <xdr:col>0</xdr:col>
      <xdr:colOff>2054225</xdr:colOff>
      <xdr:row>144</xdr:row>
      <xdr:rowOff>830263</xdr:rowOff>
    </xdr:to>
    <xdr:pic>
      <xdr:nvPicPr>
        <xdr:cNvPr id="289" name="Picture 288" descr="Insight Picture 288">
          <a:extLst>
            <a:ext uri="{FF2B5EF4-FFF2-40B4-BE49-F238E27FC236}">
              <a16:creationId xmlns:a16="http://schemas.microsoft.com/office/drawing/2014/main" id="{9722BFEA-4114-7B46-CAF9-D0814ACE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14375" y="158434088"/>
          <a:ext cx="1343025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489347</xdr:colOff>
      <xdr:row>145</xdr:row>
      <xdr:rowOff>60722</xdr:rowOff>
    </xdr:from>
    <xdr:to>
      <xdr:col>0</xdr:col>
      <xdr:colOff>2276078</xdr:colOff>
      <xdr:row>145</xdr:row>
      <xdr:rowOff>1285478</xdr:rowOff>
    </xdr:to>
    <xdr:pic>
      <xdr:nvPicPr>
        <xdr:cNvPr id="291" name="Picture 290" descr="Insight Picture 290">
          <a:extLst>
            <a:ext uri="{FF2B5EF4-FFF2-40B4-BE49-F238E27FC236}">
              <a16:creationId xmlns:a16="http://schemas.microsoft.com/office/drawing/2014/main" id="{98AD376D-ECE3-B502-B005-E467B1298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89347" y="159328247"/>
          <a:ext cx="17930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460772</xdr:colOff>
      <xdr:row>146</xdr:row>
      <xdr:rowOff>60722</xdr:rowOff>
    </xdr:from>
    <xdr:to>
      <xdr:col>0</xdr:col>
      <xdr:colOff>2317353</xdr:colOff>
      <xdr:row>146</xdr:row>
      <xdr:rowOff>964803</xdr:rowOff>
    </xdr:to>
    <xdr:pic>
      <xdr:nvPicPr>
        <xdr:cNvPr id="293" name="Picture 292" descr="Insight Picture 292">
          <a:extLst>
            <a:ext uri="{FF2B5EF4-FFF2-40B4-BE49-F238E27FC236}">
              <a16:creationId xmlns:a16="http://schemas.microsoft.com/office/drawing/2014/main" id="{EEC1AEE5-017E-2B5F-7EF4-F39D13D1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460772" y="160671272"/>
          <a:ext cx="1850231" cy="907256"/>
        </a:xfrm>
        <a:prstGeom prst="rect">
          <a:avLst/>
        </a:prstGeom>
      </xdr:spPr>
    </xdr:pic>
    <xdr:clientData/>
  </xdr:twoCellAnchor>
  <xdr:twoCellAnchor editAs="oneCell">
    <xdr:from>
      <xdr:col>0</xdr:col>
      <xdr:colOff>432197</xdr:colOff>
      <xdr:row>147</xdr:row>
      <xdr:rowOff>61913</xdr:rowOff>
    </xdr:from>
    <xdr:to>
      <xdr:col>0</xdr:col>
      <xdr:colOff>2333228</xdr:colOff>
      <xdr:row>147</xdr:row>
      <xdr:rowOff>1230313</xdr:rowOff>
    </xdr:to>
    <xdr:pic>
      <xdr:nvPicPr>
        <xdr:cNvPr id="295" name="Picture 294" descr="Insight Picture 294">
          <a:extLst>
            <a:ext uri="{FF2B5EF4-FFF2-40B4-BE49-F238E27FC236}">
              <a16:creationId xmlns:a16="http://schemas.microsoft.com/office/drawing/2014/main" id="{127F8B8E-15C0-D5A0-1760-B25CDFBFC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432197" y="161701163"/>
          <a:ext cx="1907381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403622</xdr:colOff>
      <xdr:row>148</xdr:row>
      <xdr:rowOff>60722</xdr:rowOff>
    </xdr:from>
    <xdr:to>
      <xdr:col>0</xdr:col>
      <xdr:colOff>2374503</xdr:colOff>
      <xdr:row>148</xdr:row>
      <xdr:rowOff>1136253</xdr:rowOff>
    </xdr:to>
    <xdr:pic>
      <xdr:nvPicPr>
        <xdr:cNvPr id="297" name="Picture 296" descr="Insight Picture 296">
          <a:extLst>
            <a:ext uri="{FF2B5EF4-FFF2-40B4-BE49-F238E27FC236}">
              <a16:creationId xmlns:a16="http://schemas.microsoft.com/office/drawing/2014/main" id="{257815F9-1317-FD2B-B0A5-B493D039E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03622" y="162995372"/>
          <a:ext cx="1964531" cy="1078706"/>
        </a:xfrm>
        <a:prstGeom prst="rect">
          <a:avLst/>
        </a:prstGeom>
      </xdr:spPr>
    </xdr:pic>
    <xdr:clientData/>
  </xdr:twoCellAnchor>
  <xdr:twoCellAnchor editAs="oneCell">
    <xdr:from>
      <xdr:col>0</xdr:col>
      <xdr:colOff>492918</xdr:colOff>
      <xdr:row>149</xdr:row>
      <xdr:rowOff>59531</xdr:rowOff>
    </xdr:from>
    <xdr:to>
      <xdr:col>0</xdr:col>
      <xdr:colOff>2278856</xdr:colOff>
      <xdr:row>149</xdr:row>
      <xdr:rowOff>988219</xdr:rowOff>
    </xdr:to>
    <xdr:pic>
      <xdr:nvPicPr>
        <xdr:cNvPr id="299" name="Picture 298" descr="Insight Picture 298">
          <a:extLst>
            <a:ext uri="{FF2B5EF4-FFF2-40B4-BE49-F238E27FC236}">
              <a16:creationId xmlns:a16="http://schemas.microsoft.com/office/drawing/2014/main" id="{A0E6427E-CAA7-C0BD-F396-750399FE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92918" y="164194331"/>
          <a:ext cx="1785938" cy="928688"/>
        </a:xfrm>
        <a:prstGeom prst="rect">
          <a:avLst/>
        </a:prstGeom>
      </xdr:spPr>
    </xdr:pic>
    <xdr:clientData/>
  </xdr:twoCellAnchor>
  <xdr:twoCellAnchor editAs="oneCell">
    <xdr:from>
      <xdr:col>0</xdr:col>
      <xdr:colOff>867965</xdr:colOff>
      <xdr:row>150</xdr:row>
      <xdr:rowOff>63103</xdr:rowOff>
    </xdr:from>
    <xdr:to>
      <xdr:col>0</xdr:col>
      <xdr:colOff>1906984</xdr:colOff>
      <xdr:row>150</xdr:row>
      <xdr:rowOff>752872</xdr:rowOff>
    </xdr:to>
    <xdr:pic>
      <xdr:nvPicPr>
        <xdr:cNvPr id="301" name="Picture 300" descr="Insight Picture 300">
          <a:extLst>
            <a:ext uri="{FF2B5EF4-FFF2-40B4-BE49-F238E27FC236}">
              <a16:creationId xmlns:a16="http://schemas.microsoft.com/office/drawing/2014/main" id="{700244EA-61A9-69D5-556C-59376F4E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867965" y="165245653"/>
          <a:ext cx="1035844" cy="692944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151</xdr:row>
      <xdr:rowOff>60722</xdr:rowOff>
    </xdr:from>
    <xdr:to>
      <xdr:col>0</xdr:col>
      <xdr:colOff>2125266</xdr:colOff>
      <xdr:row>151</xdr:row>
      <xdr:rowOff>1193403</xdr:rowOff>
    </xdr:to>
    <xdr:pic>
      <xdr:nvPicPr>
        <xdr:cNvPr id="303" name="Picture 302" descr="Insight Picture 302">
          <a:extLst>
            <a:ext uri="{FF2B5EF4-FFF2-40B4-BE49-F238E27FC236}">
              <a16:creationId xmlns:a16="http://schemas.microsoft.com/office/drawing/2014/main" id="{D96A4C81-EC15-01B0-57CA-9EF2FEDC3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646510" y="166062422"/>
          <a:ext cx="1478756" cy="1135856"/>
        </a:xfrm>
        <a:prstGeom prst="rect">
          <a:avLst/>
        </a:prstGeom>
      </xdr:spPr>
    </xdr:pic>
    <xdr:clientData/>
  </xdr:twoCellAnchor>
  <xdr:twoCellAnchor editAs="oneCell">
    <xdr:from>
      <xdr:col>0</xdr:col>
      <xdr:colOff>432197</xdr:colOff>
      <xdr:row>152</xdr:row>
      <xdr:rowOff>63103</xdr:rowOff>
    </xdr:from>
    <xdr:to>
      <xdr:col>0</xdr:col>
      <xdr:colOff>2333228</xdr:colOff>
      <xdr:row>152</xdr:row>
      <xdr:rowOff>1267222</xdr:rowOff>
    </xdr:to>
    <xdr:pic>
      <xdr:nvPicPr>
        <xdr:cNvPr id="305" name="Picture 304" descr="Insight Picture 304">
          <a:extLst>
            <a:ext uri="{FF2B5EF4-FFF2-40B4-BE49-F238E27FC236}">
              <a16:creationId xmlns:a16="http://schemas.microsoft.com/office/drawing/2014/main" id="{4CD66182-DF2A-D7C6-15DD-920F8DA4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432197" y="167322103"/>
          <a:ext cx="1907381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682228</xdr:colOff>
      <xdr:row>153</xdr:row>
      <xdr:rowOff>60722</xdr:rowOff>
    </xdr:from>
    <xdr:to>
      <xdr:col>0</xdr:col>
      <xdr:colOff>2083197</xdr:colOff>
      <xdr:row>153</xdr:row>
      <xdr:rowOff>1285478</xdr:rowOff>
    </xdr:to>
    <xdr:pic>
      <xdr:nvPicPr>
        <xdr:cNvPr id="307" name="Picture 306" descr="Insight Picture 306">
          <a:extLst>
            <a:ext uri="{FF2B5EF4-FFF2-40B4-BE49-F238E27FC236}">
              <a16:creationId xmlns:a16="http://schemas.microsoft.com/office/drawing/2014/main" id="{8D862790-6EA2-1443-551D-71999430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682228" y="168653222"/>
          <a:ext cx="14073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154</xdr:row>
      <xdr:rowOff>61913</xdr:rowOff>
    </xdr:from>
    <xdr:to>
      <xdr:col>0</xdr:col>
      <xdr:colOff>2192734</xdr:colOff>
      <xdr:row>154</xdr:row>
      <xdr:rowOff>1150938</xdr:rowOff>
    </xdr:to>
    <xdr:pic>
      <xdr:nvPicPr>
        <xdr:cNvPr id="309" name="Picture 308" descr="Insight Picture 308">
          <a:extLst>
            <a:ext uri="{FF2B5EF4-FFF2-40B4-BE49-F238E27FC236}">
              <a16:creationId xmlns:a16="http://schemas.microsoft.com/office/drawing/2014/main" id="{5E6683A8-7B12-8487-08DF-D14D098F8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582215" y="169997438"/>
          <a:ext cx="1607344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592931</xdr:colOff>
      <xdr:row>155</xdr:row>
      <xdr:rowOff>59531</xdr:rowOff>
    </xdr:from>
    <xdr:to>
      <xdr:col>0</xdr:col>
      <xdr:colOff>2178844</xdr:colOff>
      <xdr:row>155</xdr:row>
      <xdr:rowOff>1273969</xdr:rowOff>
    </xdr:to>
    <xdr:pic>
      <xdr:nvPicPr>
        <xdr:cNvPr id="311" name="Picture 310" descr="Insight Picture 310">
          <a:extLst>
            <a:ext uri="{FF2B5EF4-FFF2-40B4-BE49-F238E27FC236}">
              <a16:creationId xmlns:a16="http://schemas.microsoft.com/office/drawing/2014/main" id="{A9BF5293-77AD-2794-1EB7-F7A6B0A60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92931" y="171204731"/>
          <a:ext cx="1585913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442913</xdr:colOff>
      <xdr:row>156</xdr:row>
      <xdr:rowOff>60722</xdr:rowOff>
    </xdr:from>
    <xdr:to>
      <xdr:col>0</xdr:col>
      <xdr:colOff>2335213</xdr:colOff>
      <xdr:row>156</xdr:row>
      <xdr:rowOff>1079103</xdr:rowOff>
    </xdr:to>
    <xdr:pic>
      <xdr:nvPicPr>
        <xdr:cNvPr id="313" name="Picture 312" descr="Insight Picture 312">
          <a:extLst>
            <a:ext uri="{FF2B5EF4-FFF2-40B4-BE49-F238E27FC236}">
              <a16:creationId xmlns:a16="http://schemas.microsoft.com/office/drawing/2014/main" id="{B37214BD-4F66-C9BF-8DED-AC6DAFEA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42913" y="172539422"/>
          <a:ext cx="1885950" cy="1021556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157</xdr:row>
      <xdr:rowOff>60722</xdr:rowOff>
    </xdr:from>
    <xdr:to>
      <xdr:col>0</xdr:col>
      <xdr:colOff>2220913</xdr:colOff>
      <xdr:row>157</xdr:row>
      <xdr:rowOff>1285478</xdr:rowOff>
    </xdr:to>
    <xdr:pic>
      <xdr:nvPicPr>
        <xdr:cNvPr id="315" name="Picture 314" descr="Insight Picture 314">
          <a:extLst>
            <a:ext uri="{FF2B5EF4-FFF2-40B4-BE49-F238E27FC236}">
              <a16:creationId xmlns:a16="http://schemas.microsoft.com/office/drawing/2014/main" id="{1FFF8AE1-7C10-B057-92F3-DFAA6EC33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557213" y="173682422"/>
          <a:ext cx="16573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642938</xdr:colOff>
      <xdr:row>158</xdr:row>
      <xdr:rowOff>60722</xdr:rowOff>
    </xdr:from>
    <xdr:to>
      <xdr:col>0</xdr:col>
      <xdr:colOff>2122488</xdr:colOff>
      <xdr:row>158</xdr:row>
      <xdr:rowOff>1285478</xdr:rowOff>
    </xdr:to>
    <xdr:pic>
      <xdr:nvPicPr>
        <xdr:cNvPr id="317" name="Picture 316" descr="Insight Picture 316">
          <a:extLst>
            <a:ext uri="{FF2B5EF4-FFF2-40B4-BE49-F238E27FC236}">
              <a16:creationId xmlns:a16="http://schemas.microsoft.com/office/drawing/2014/main" id="{BE884DA3-0579-2712-4990-6F3A61100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42938" y="175025447"/>
          <a:ext cx="14859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159</xdr:row>
      <xdr:rowOff>63103</xdr:rowOff>
    </xdr:from>
    <xdr:to>
      <xdr:col>0</xdr:col>
      <xdr:colOff>2371725</xdr:colOff>
      <xdr:row>159</xdr:row>
      <xdr:rowOff>1244997</xdr:rowOff>
    </xdr:to>
    <xdr:pic>
      <xdr:nvPicPr>
        <xdr:cNvPr id="319" name="Picture 318" descr="Insight Picture 318">
          <a:extLst>
            <a:ext uri="{FF2B5EF4-FFF2-40B4-BE49-F238E27FC236}">
              <a16:creationId xmlns:a16="http://schemas.microsoft.com/office/drawing/2014/main" id="{F4C26B5C-AACD-A314-ED7E-0788D8E2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400050" y="176370853"/>
          <a:ext cx="1971675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610790</xdr:colOff>
      <xdr:row>160</xdr:row>
      <xdr:rowOff>63103</xdr:rowOff>
    </xdr:from>
    <xdr:to>
      <xdr:col>0</xdr:col>
      <xdr:colOff>2160984</xdr:colOff>
      <xdr:row>160</xdr:row>
      <xdr:rowOff>1038622</xdr:rowOff>
    </xdr:to>
    <xdr:pic>
      <xdr:nvPicPr>
        <xdr:cNvPr id="321" name="Picture 320" descr="Insight Picture 320">
          <a:extLst>
            <a:ext uri="{FF2B5EF4-FFF2-40B4-BE49-F238E27FC236}">
              <a16:creationId xmlns:a16="http://schemas.microsoft.com/office/drawing/2014/main" id="{C0428CEF-51DB-755F-773A-658891DD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10790" y="177675778"/>
          <a:ext cx="1550194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161</xdr:row>
      <xdr:rowOff>60722</xdr:rowOff>
    </xdr:from>
    <xdr:to>
      <xdr:col>0</xdr:col>
      <xdr:colOff>2096294</xdr:colOff>
      <xdr:row>161</xdr:row>
      <xdr:rowOff>1285478</xdr:rowOff>
    </xdr:to>
    <xdr:pic>
      <xdr:nvPicPr>
        <xdr:cNvPr id="323" name="Picture 322" descr="Insight Picture 322">
          <a:extLst>
            <a:ext uri="{FF2B5EF4-FFF2-40B4-BE49-F238E27FC236}">
              <a16:creationId xmlns:a16="http://schemas.microsoft.com/office/drawing/2014/main" id="{F53A6122-003D-C236-38E8-858F69A09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78656" y="178778297"/>
          <a:ext cx="14144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535781</xdr:colOff>
      <xdr:row>162</xdr:row>
      <xdr:rowOff>63103</xdr:rowOff>
    </xdr:from>
    <xdr:to>
      <xdr:col>0</xdr:col>
      <xdr:colOff>2235994</xdr:colOff>
      <xdr:row>162</xdr:row>
      <xdr:rowOff>1016397</xdr:rowOff>
    </xdr:to>
    <xdr:pic>
      <xdr:nvPicPr>
        <xdr:cNvPr id="325" name="Picture 324" descr="Insight Picture 324">
          <a:extLst>
            <a:ext uri="{FF2B5EF4-FFF2-40B4-BE49-F238E27FC236}">
              <a16:creationId xmlns:a16="http://schemas.microsoft.com/office/drawing/2014/main" id="{0DBBD37E-D389-4C14-B9ED-CB98DBA23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535781" y="180123703"/>
          <a:ext cx="1700213" cy="950119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163</xdr:row>
      <xdr:rowOff>61913</xdr:rowOff>
    </xdr:from>
    <xdr:to>
      <xdr:col>0</xdr:col>
      <xdr:colOff>2220913</xdr:colOff>
      <xdr:row>163</xdr:row>
      <xdr:rowOff>1001713</xdr:rowOff>
    </xdr:to>
    <xdr:pic>
      <xdr:nvPicPr>
        <xdr:cNvPr id="327" name="Picture 326" descr="Insight Picture 326">
          <a:extLst>
            <a:ext uri="{FF2B5EF4-FFF2-40B4-BE49-F238E27FC236}">
              <a16:creationId xmlns:a16="http://schemas.microsoft.com/office/drawing/2014/main" id="{B7E4DAAB-E3F3-1E1F-D9E9-E8F2FB04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557213" y="181198838"/>
          <a:ext cx="1657350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164</xdr:row>
      <xdr:rowOff>60722</xdr:rowOff>
    </xdr:from>
    <xdr:to>
      <xdr:col>0</xdr:col>
      <xdr:colOff>2103834</xdr:colOff>
      <xdr:row>164</xdr:row>
      <xdr:rowOff>793353</xdr:rowOff>
    </xdr:to>
    <xdr:pic>
      <xdr:nvPicPr>
        <xdr:cNvPr id="329" name="Picture 328" descr="Insight Picture 328">
          <a:extLst>
            <a:ext uri="{FF2B5EF4-FFF2-40B4-BE49-F238E27FC236}">
              <a16:creationId xmlns:a16="http://schemas.microsoft.com/office/drawing/2014/main" id="{FD38DFD6-E563-C99E-A20A-5E3EFBFC6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67940" y="182264447"/>
          <a:ext cx="1435894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478631</xdr:colOff>
      <xdr:row>165</xdr:row>
      <xdr:rowOff>63103</xdr:rowOff>
    </xdr:from>
    <xdr:to>
      <xdr:col>0</xdr:col>
      <xdr:colOff>2293144</xdr:colOff>
      <xdr:row>165</xdr:row>
      <xdr:rowOff>1152922</xdr:rowOff>
    </xdr:to>
    <xdr:pic>
      <xdr:nvPicPr>
        <xdr:cNvPr id="331" name="Picture 330" descr="Insight Picture 330">
          <a:extLst>
            <a:ext uri="{FF2B5EF4-FFF2-40B4-BE49-F238E27FC236}">
              <a16:creationId xmlns:a16="http://schemas.microsoft.com/office/drawing/2014/main" id="{F16351AA-744F-AFFB-44BD-E5C63992F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78631" y="183124078"/>
          <a:ext cx="1814513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592931</xdr:colOff>
      <xdr:row>166</xdr:row>
      <xdr:rowOff>60722</xdr:rowOff>
    </xdr:from>
    <xdr:to>
      <xdr:col>0</xdr:col>
      <xdr:colOff>2178844</xdr:colOff>
      <xdr:row>166</xdr:row>
      <xdr:rowOff>1285478</xdr:rowOff>
    </xdr:to>
    <xdr:pic>
      <xdr:nvPicPr>
        <xdr:cNvPr id="333" name="Picture 332" descr="Insight Picture 332">
          <a:extLst>
            <a:ext uri="{FF2B5EF4-FFF2-40B4-BE49-F238E27FC236}">
              <a16:creationId xmlns:a16="http://schemas.microsoft.com/office/drawing/2014/main" id="{10E5E71B-CCE9-AD3F-20EF-6A279E6E3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592931" y="184340897"/>
          <a:ext cx="15859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167</xdr:row>
      <xdr:rowOff>60722</xdr:rowOff>
    </xdr:from>
    <xdr:to>
      <xdr:col>0</xdr:col>
      <xdr:colOff>2225675</xdr:colOff>
      <xdr:row>167</xdr:row>
      <xdr:rowOff>1056878</xdr:rowOff>
    </xdr:to>
    <xdr:pic>
      <xdr:nvPicPr>
        <xdr:cNvPr id="335" name="Picture 334" descr="Insight Picture 334">
          <a:extLst>
            <a:ext uri="{FF2B5EF4-FFF2-40B4-BE49-F238E27FC236}">
              <a16:creationId xmlns:a16="http://schemas.microsoft.com/office/drawing/2014/main" id="{05CAB41D-62EF-71CA-B44C-777BD103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542925" y="185683922"/>
          <a:ext cx="1685925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585788</xdr:colOff>
      <xdr:row>168</xdr:row>
      <xdr:rowOff>60722</xdr:rowOff>
    </xdr:from>
    <xdr:to>
      <xdr:col>0</xdr:col>
      <xdr:colOff>2179638</xdr:colOff>
      <xdr:row>168</xdr:row>
      <xdr:rowOff>793353</xdr:rowOff>
    </xdr:to>
    <xdr:pic>
      <xdr:nvPicPr>
        <xdr:cNvPr id="337" name="Picture 336" descr="Insight Picture 336">
          <a:extLst>
            <a:ext uri="{FF2B5EF4-FFF2-40B4-BE49-F238E27FC236}">
              <a16:creationId xmlns:a16="http://schemas.microsoft.com/office/drawing/2014/main" id="{51FA1A9A-19B6-4B4A-D69A-3B7B16984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585788" y="186798347"/>
          <a:ext cx="1600200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642938</xdr:colOff>
      <xdr:row>169</xdr:row>
      <xdr:rowOff>60722</xdr:rowOff>
    </xdr:from>
    <xdr:to>
      <xdr:col>0</xdr:col>
      <xdr:colOff>2122488</xdr:colOff>
      <xdr:row>169</xdr:row>
      <xdr:rowOff>1285478</xdr:rowOff>
    </xdr:to>
    <xdr:pic>
      <xdr:nvPicPr>
        <xdr:cNvPr id="339" name="Picture 338" descr="Insight Picture 338">
          <a:extLst>
            <a:ext uri="{FF2B5EF4-FFF2-40B4-BE49-F238E27FC236}">
              <a16:creationId xmlns:a16="http://schemas.microsoft.com/office/drawing/2014/main" id="{19F334DB-4C50-645F-462B-3B7E6ABCF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642938" y="187655597"/>
          <a:ext cx="14859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996553</xdr:colOff>
      <xdr:row>170</xdr:row>
      <xdr:rowOff>61913</xdr:rowOff>
    </xdr:from>
    <xdr:to>
      <xdr:col>0</xdr:col>
      <xdr:colOff>1781572</xdr:colOff>
      <xdr:row>170</xdr:row>
      <xdr:rowOff>715963</xdr:rowOff>
    </xdr:to>
    <xdr:pic>
      <xdr:nvPicPr>
        <xdr:cNvPr id="341" name="Picture 340" descr="Insight Picture 340">
          <a:extLst>
            <a:ext uri="{FF2B5EF4-FFF2-40B4-BE49-F238E27FC236}">
              <a16:creationId xmlns:a16="http://schemas.microsoft.com/office/drawing/2014/main" id="{FAAD8DFF-4475-0C9F-D5BE-05818758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996553" y="188999813"/>
          <a:ext cx="778669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171</xdr:row>
      <xdr:rowOff>60722</xdr:rowOff>
    </xdr:from>
    <xdr:to>
      <xdr:col>0</xdr:col>
      <xdr:colOff>2135584</xdr:colOff>
      <xdr:row>171</xdr:row>
      <xdr:rowOff>1285478</xdr:rowOff>
    </xdr:to>
    <xdr:pic>
      <xdr:nvPicPr>
        <xdr:cNvPr id="343" name="Picture 342" descr="Insight Picture 342">
          <a:extLst>
            <a:ext uri="{FF2B5EF4-FFF2-40B4-BE49-F238E27FC236}">
              <a16:creationId xmlns:a16="http://schemas.microsoft.com/office/drawing/2014/main" id="{12B9F902-ADB9-186D-2800-FA58FECEB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39365" y="189779672"/>
          <a:ext cx="14930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757238</xdr:colOff>
      <xdr:row>172</xdr:row>
      <xdr:rowOff>59531</xdr:rowOff>
    </xdr:from>
    <xdr:to>
      <xdr:col>0</xdr:col>
      <xdr:colOff>2008188</xdr:colOff>
      <xdr:row>172</xdr:row>
      <xdr:rowOff>1273969</xdr:rowOff>
    </xdr:to>
    <xdr:pic>
      <xdr:nvPicPr>
        <xdr:cNvPr id="345" name="Picture 344" descr="Insight Picture 344">
          <a:extLst>
            <a:ext uri="{FF2B5EF4-FFF2-40B4-BE49-F238E27FC236}">
              <a16:creationId xmlns:a16="http://schemas.microsoft.com/office/drawing/2014/main" id="{7208D866-E077-EF2F-1209-FD4B4C4B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757238" y="191121506"/>
          <a:ext cx="1257300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585788</xdr:colOff>
      <xdr:row>173</xdr:row>
      <xdr:rowOff>59531</xdr:rowOff>
    </xdr:from>
    <xdr:to>
      <xdr:col>0</xdr:col>
      <xdr:colOff>2179638</xdr:colOff>
      <xdr:row>173</xdr:row>
      <xdr:rowOff>1019969</xdr:rowOff>
    </xdr:to>
    <xdr:pic>
      <xdr:nvPicPr>
        <xdr:cNvPr id="347" name="Picture 346" descr="Insight Picture 346">
          <a:extLst>
            <a:ext uri="{FF2B5EF4-FFF2-40B4-BE49-F238E27FC236}">
              <a16:creationId xmlns:a16="http://schemas.microsoft.com/office/drawing/2014/main" id="{02E70D1D-A71E-AFA9-E23C-9F80E41F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85788" y="192455006"/>
          <a:ext cx="1600200" cy="957263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174</xdr:row>
      <xdr:rowOff>63103</xdr:rowOff>
    </xdr:from>
    <xdr:to>
      <xdr:col>0</xdr:col>
      <xdr:colOff>2067322</xdr:colOff>
      <xdr:row>174</xdr:row>
      <xdr:rowOff>1038622</xdr:rowOff>
    </xdr:to>
    <xdr:pic>
      <xdr:nvPicPr>
        <xdr:cNvPr id="349" name="Picture 348" descr="Insight Picture 348">
          <a:extLst>
            <a:ext uri="{FF2B5EF4-FFF2-40B4-BE49-F238E27FC236}">
              <a16:creationId xmlns:a16="http://schemas.microsoft.com/office/drawing/2014/main" id="{38A3BA8C-CC3E-22F3-6E83-8443468FE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10803" y="193534903"/>
          <a:ext cx="1350169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671513</xdr:colOff>
      <xdr:row>175</xdr:row>
      <xdr:rowOff>60722</xdr:rowOff>
    </xdr:from>
    <xdr:to>
      <xdr:col>0</xdr:col>
      <xdr:colOff>2106613</xdr:colOff>
      <xdr:row>175</xdr:row>
      <xdr:rowOff>1285478</xdr:rowOff>
    </xdr:to>
    <xdr:pic>
      <xdr:nvPicPr>
        <xdr:cNvPr id="351" name="Picture 350" descr="Insight Picture 350">
          <a:extLst>
            <a:ext uri="{FF2B5EF4-FFF2-40B4-BE49-F238E27FC236}">
              <a16:creationId xmlns:a16="http://schemas.microsoft.com/office/drawing/2014/main" id="{0B165EF6-E78A-46B2-B665-D6FCA8A37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671513" y="194637422"/>
          <a:ext cx="14287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614363</xdr:colOff>
      <xdr:row>176</xdr:row>
      <xdr:rowOff>60722</xdr:rowOff>
    </xdr:from>
    <xdr:to>
      <xdr:col>0</xdr:col>
      <xdr:colOff>2163763</xdr:colOff>
      <xdr:row>176</xdr:row>
      <xdr:rowOff>1285478</xdr:rowOff>
    </xdr:to>
    <xdr:pic>
      <xdr:nvPicPr>
        <xdr:cNvPr id="353" name="Picture 352" descr="Insight Picture 352">
          <a:extLst>
            <a:ext uri="{FF2B5EF4-FFF2-40B4-BE49-F238E27FC236}">
              <a16:creationId xmlns:a16="http://schemas.microsoft.com/office/drawing/2014/main" id="{B5494795-841D-8473-32F6-5574A321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14363" y="195980447"/>
          <a:ext cx="15430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407193</xdr:colOff>
      <xdr:row>177</xdr:row>
      <xdr:rowOff>61913</xdr:rowOff>
    </xdr:from>
    <xdr:to>
      <xdr:col>0</xdr:col>
      <xdr:colOff>2361406</xdr:colOff>
      <xdr:row>177</xdr:row>
      <xdr:rowOff>1287463</xdr:rowOff>
    </xdr:to>
    <xdr:pic>
      <xdr:nvPicPr>
        <xdr:cNvPr id="355" name="Picture 354" descr="Insight Picture 354">
          <a:extLst>
            <a:ext uri="{FF2B5EF4-FFF2-40B4-BE49-F238E27FC236}">
              <a16:creationId xmlns:a16="http://schemas.microsoft.com/office/drawing/2014/main" id="{5F888F01-F66C-34F2-6CF3-56F8AF122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07193" y="197324663"/>
          <a:ext cx="1957388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550068</xdr:colOff>
      <xdr:row>178</xdr:row>
      <xdr:rowOff>60722</xdr:rowOff>
    </xdr:from>
    <xdr:to>
      <xdr:col>0</xdr:col>
      <xdr:colOff>2221706</xdr:colOff>
      <xdr:row>178</xdr:row>
      <xdr:rowOff>1285478</xdr:rowOff>
    </xdr:to>
    <xdr:pic>
      <xdr:nvPicPr>
        <xdr:cNvPr id="357" name="Picture 356" descr="Insight Picture 356">
          <a:extLst>
            <a:ext uri="{FF2B5EF4-FFF2-40B4-BE49-F238E27FC236}">
              <a16:creationId xmlns:a16="http://schemas.microsoft.com/office/drawing/2014/main" id="{885F2D69-0A77-F40D-CA83-2E0DDC07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50068" y="198676022"/>
          <a:ext cx="16716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928688</xdr:colOff>
      <xdr:row>179</xdr:row>
      <xdr:rowOff>59531</xdr:rowOff>
    </xdr:from>
    <xdr:to>
      <xdr:col>0</xdr:col>
      <xdr:colOff>1836738</xdr:colOff>
      <xdr:row>179</xdr:row>
      <xdr:rowOff>816769</xdr:rowOff>
    </xdr:to>
    <xdr:pic>
      <xdr:nvPicPr>
        <xdr:cNvPr id="359" name="Picture 358" descr="Insight Picture 358">
          <a:extLst>
            <a:ext uri="{FF2B5EF4-FFF2-40B4-BE49-F238E27FC236}">
              <a16:creationId xmlns:a16="http://schemas.microsoft.com/office/drawing/2014/main" id="{9439D986-FB26-E28E-7033-40C4B3C4A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928688" y="200017856"/>
          <a:ext cx="914400" cy="757238"/>
        </a:xfrm>
        <a:prstGeom prst="rect">
          <a:avLst/>
        </a:prstGeom>
      </xdr:spPr>
    </xdr:pic>
    <xdr:clientData/>
  </xdr:twoCellAnchor>
  <xdr:twoCellAnchor editAs="oneCell">
    <xdr:from>
      <xdr:col>0</xdr:col>
      <xdr:colOff>682228</xdr:colOff>
      <xdr:row>180</xdr:row>
      <xdr:rowOff>63103</xdr:rowOff>
    </xdr:from>
    <xdr:to>
      <xdr:col>0</xdr:col>
      <xdr:colOff>2083197</xdr:colOff>
      <xdr:row>180</xdr:row>
      <xdr:rowOff>787797</xdr:rowOff>
    </xdr:to>
    <xdr:pic>
      <xdr:nvPicPr>
        <xdr:cNvPr id="361" name="Picture 360" descr="Insight Picture 360">
          <a:extLst>
            <a:ext uri="{FF2B5EF4-FFF2-40B4-BE49-F238E27FC236}">
              <a16:creationId xmlns:a16="http://schemas.microsoft.com/office/drawing/2014/main" id="{07A80B02-2892-2648-7088-83EE4D7A8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82228" y="200897728"/>
          <a:ext cx="1407319" cy="721519"/>
        </a:xfrm>
        <a:prstGeom prst="rect">
          <a:avLst/>
        </a:prstGeom>
      </xdr:spPr>
    </xdr:pic>
    <xdr:clientData/>
  </xdr:twoCellAnchor>
  <xdr:twoCellAnchor editAs="oneCell">
    <xdr:from>
      <xdr:col>0</xdr:col>
      <xdr:colOff>810815</xdr:colOff>
      <xdr:row>181</xdr:row>
      <xdr:rowOff>63103</xdr:rowOff>
    </xdr:from>
    <xdr:to>
      <xdr:col>0</xdr:col>
      <xdr:colOff>1964134</xdr:colOff>
      <xdr:row>181</xdr:row>
      <xdr:rowOff>581422</xdr:rowOff>
    </xdr:to>
    <xdr:pic>
      <xdr:nvPicPr>
        <xdr:cNvPr id="363" name="Picture 362" descr="Insight Picture 362">
          <a:extLst>
            <a:ext uri="{FF2B5EF4-FFF2-40B4-BE49-F238E27FC236}">
              <a16:creationId xmlns:a16="http://schemas.microsoft.com/office/drawing/2014/main" id="{9829585E-9BD5-0E50-3B52-6ECD04175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810815" y="201745453"/>
          <a:ext cx="1150144" cy="521494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182</xdr:row>
      <xdr:rowOff>61913</xdr:rowOff>
    </xdr:from>
    <xdr:to>
      <xdr:col>0</xdr:col>
      <xdr:colOff>2192734</xdr:colOff>
      <xdr:row>182</xdr:row>
      <xdr:rowOff>1150938</xdr:rowOff>
    </xdr:to>
    <xdr:pic>
      <xdr:nvPicPr>
        <xdr:cNvPr id="365" name="Picture 364" descr="Insight Picture 364">
          <a:extLst>
            <a:ext uri="{FF2B5EF4-FFF2-40B4-BE49-F238E27FC236}">
              <a16:creationId xmlns:a16="http://schemas.microsoft.com/office/drawing/2014/main" id="{D0E7600F-803D-6388-6E5D-8E361E944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582215" y="202391963"/>
          <a:ext cx="1607344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382191</xdr:colOff>
      <xdr:row>183</xdr:row>
      <xdr:rowOff>59531</xdr:rowOff>
    </xdr:from>
    <xdr:to>
      <xdr:col>0</xdr:col>
      <xdr:colOff>2389585</xdr:colOff>
      <xdr:row>183</xdr:row>
      <xdr:rowOff>1273969</xdr:rowOff>
    </xdr:to>
    <xdr:pic>
      <xdr:nvPicPr>
        <xdr:cNvPr id="367" name="Picture 366" descr="Insight Picture 366">
          <a:extLst>
            <a:ext uri="{FF2B5EF4-FFF2-40B4-BE49-F238E27FC236}">
              <a16:creationId xmlns:a16="http://schemas.microsoft.com/office/drawing/2014/main" id="{C3F6129A-7B2D-38C2-DED8-FB26E399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82191" y="203599256"/>
          <a:ext cx="2007394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471488</xdr:colOff>
      <xdr:row>184</xdr:row>
      <xdr:rowOff>60722</xdr:rowOff>
    </xdr:from>
    <xdr:to>
      <xdr:col>0</xdr:col>
      <xdr:colOff>2293938</xdr:colOff>
      <xdr:row>184</xdr:row>
      <xdr:rowOff>1285478</xdr:rowOff>
    </xdr:to>
    <xdr:pic>
      <xdr:nvPicPr>
        <xdr:cNvPr id="369" name="Picture 368" descr="Insight Picture 368">
          <a:extLst>
            <a:ext uri="{FF2B5EF4-FFF2-40B4-BE49-F238E27FC236}">
              <a16:creationId xmlns:a16="http://schemas.microsoft.com/office/drawing/2014/main" id="{05514D30-587D-9471-6995-4D9764500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71488" y="204933947"/>
          <a:ext cx="18288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185</xdr:row>
      <xdr:rowOff>60722</xdr:rowOff>
    </xdr:from>
    <xdr:to>
      <xdr:col>0</xdr:col>
      <xdr:colOff>1993107</xdr:colOff>
      <xdr:row>185</xdr:row>
      <xdr:rowOff>1056878</xdr:rowOff>
    </xdr:to>
    <xdr:pic>
      <xdr:nvPicPr>
        <xdr:cNvPr id="371" name="Picture 370" descr="Insight Picture 370">
          <a:extLst>
            <a:ext uri="{FF2B5EF4-FFF2-40B4-BE49-F238E27FC236}">
              <a16:creationId xmlns:a16="http://schemas.microsoft.com/office/drawing/2014/main" id="{1B5641EC-59AE-6217-4206-C107872F3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78669" y="206276972"/>
          <a:ext cx="1214438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378618</xdr:colOff>
      <xdr:row>186</xdr:row>
      <xdr:rowOff>60722</xdr:rowOff>
    </xdr:from>
    <xdr:to>
      <xdr:col>0</xdr:col>
      <xdr:colOff>2393156</xdr:colOff>
      <xdr:row>186</xdr:row>
      <xdr:rowOff>1285478</xdr:rowOff>
    </xdr:to>
    <xdr:pic>
      <xdr:nvPicPr>
        <xdr:cNvPr id="373" name="Picture 372" descr="Insight Picture 372">
          <a:extLst>
            <a:ext uri="{FF2B5EF4-FFF2-40B4-BE49-F238E27FC236}">
              <a16:creationId xmlns:a16="http://schemas.microsoft.com/office/drawing/2014/main" id="{1B72B240-80F6-A3B5-BE83-5F4C7B0A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378618" y="207391397"/>
          <a:ext cx="20145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187</xdr:row>
      <xdr:rowOff>60722</xdr:rowOff>
    </xdr:from>
    <xdr:to>
      <xdr:col>0</xdr:col>
      <xdr:colOff>2036366</xdr:colOff>
      <xdr:row>187</xdr:row>
      <xdr:rowOff>1285478</xdr:rowOff>
    </xdr:to>
    <xdr:pic>
      <xdr:nvPicPr>
        <xdr:cNvPr id="375" name="Picture 374" descr="Insight Picture 374">
          <a:extLst>
            <a:ext uri="{FF2B5EF4-FFF2-40B4-BE49-F238E27FC236}">
              <a16:creationId xmlns:a16="http://schemas.microsoft.com/office/drawing/2014/main" id="{F0ADFF8A-C833-486A-DBCF-14192238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32235" y="208734422"/>
          <a:ext cx="13073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650081</xdr:colOff>
      <xdr:row>188</xdr:row>
      <xdr:rowOff>60722</xdr:rowOff>
    </xdr:from>
    <xdr:to>
      <xdr:col>0</xdr:col>
      <xdr:colOff>2121694</xdr:colOff>
      <xdr:row>188</xdr:row>
      <xdr:rowOff>1285478</xdr:rowOff>
    </xdr:to>
    <xdr:pic>
      <xdr:nvPicPr>
        <xdr:cNvPr id="377" name="Picture 376" descr="Insight Picture 376">
          <a:extLst>
            <a:ext uri="{FF2B5EF4-FFF2-40B4-BE49-F238E27FC236}">
              <a16:creationId xmlns:a16="http://schemas.microsoft.com/office/drawing/2014/main" id="{064A2E83-5238-038A-71D7-3616627C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50081" y="210077447"/>
          <a:ext cx="14716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189</xdr:row>
      <xdr:rowOff>61913</xdr:rowOff>
    </xdr:from>
    <xdr:to>
      <xdr:col>0</xdr:col>
      <xdr:colOff>2054225</xdr:colOff>
      <xdr:row>189</xdr:row>
      <xdr:rowOff>1265238</xdr:rowOff>
    </xdr:to>
    <xdr:pic>
      <xdr:nvPicPr>
        <xdr:cNvPr id="379" name="Picture 378" descr="Insight Picture 378">
          <a:extLst>
            <a:ext uri="{FF2B5EF4-FFF2-40B4-BE49-F238E27FC236}">
              <a16:creationId xmlns:a16="http://schemas.microsoft.com/office/drawing/2014/main" id="{40097EF3-D9DE-75D3-9F48-02FCEA7B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714375" y="211421663"/>
          <a:ext cx="134302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190</xdr:row>
      <xdr:rowOff>61913</xdr:rowOff>
    </xdr:from>
    <xdr:to>
      <xdr:col>0</xdr:col>
      <xdr:colOff>1971675</xdr:colOff>
      <xdr:row>190</xdr:row>
      <xdr:rowOff>1265238</xdr:rowOff>
    </xdr:to>
    <xdr:pic>
      <xdr:nvPicPr>
        <xdr:cNvPr id="381" name="Picture 380" descr="Insight Picture 380">
          <a:extLst>
            <a:ext uri="{FF2B5EF4-FFF2-40B4-BE49-F238E27FC236}">
              <a16:creationId xmlns:a16="http://schemas.microsoft.com/office/drawing/2014/main" id="{B6334AEC-756A-BD45-295C-3B45E5EE9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800100" y="212745638"/>
          <a:ext cx="117157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191</xdr:row>
      <xdr:rowOff>61913</xdr:rowOff>
    </xdr:from>
    <xdr:to>
      <xdr:col>0</xdr:col>
      <xdr:colOff>2143125</xdr:colOff>
      <xdr:row>191</xdr:row>
      <xdr:rowOff>1265238</xdr:rowOff>
    </xdr:to>
    <xdr:pic>
      <xdr:nvPicPr>
        <xdr:cNvPr id="383" name="Picture 382" descr="Insight Picture 382">
          <a:extLst>
            <a:ext uri="{FF2B5EF4-FFF2-40B4-BE49-F238E27FC236}">
              <a16:creationId xmlns:a16="http://schemas.microsoft.com/office/drawing/2014/main" id="{671DB953-AD82-9BC4-E0FF-B99E45DC2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28650" y="214069613"/>
          <a:ext cx="151447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192</xdr:row>
      <xdr:rowOff>61913</xdr:rowOff>
    </xdr:from>
    <xdr:to>
      <xdr:col>0</xdr:col>
      <xdr:colOff>2143125</xdr:colOff>
      <xdr:row>192</xdr:row>
      <xdr:rowOff>1265238</xdr:rowOff>
    </xdr:to>
    <xdr:pic>
      <xdr:nvPicPr>
        <xdr:cNvPr id="385" name="Picture 384" descr="Insight Picture 384">
          <a:extLst>
            <a:ext uri="{FF2B5EF4-FFF2-40B4-BE49-F238E27FC236}">
              <a16:creationId xmlns:a16="http://schemas.microsoft.com/office/drawing/2014/main" id="{CC40CEAA-16B5-E969-8930-77D97DBC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28650" y="215393588"/>
          <a:ext cx="151447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193</xdr:row>
      <xdr:rowOff>60722</xdr:rowOff>
    </xdr:from>
    <xdr:to>
      <xdr:col>0</xdr:col>
      <xdr:colOff>2143125</xdr:colOff>
      <xdr:row>193</xdr:row>
      <xdr:rowOff>1285478</xdr:rowOff>
    </xdr:to>
    <xdr:pic>
      <xdr:nvPicPr>
        <xdr:cNvPr id="387" name="Picture 386" descr="Insight Picture 386">
          <a:extLst>
            <a:ext uri="{FF2B5EF4-FFF2-40B4-BE49-F238E27FC236}">
              <a16:creationId xmlns:a16="http://schemas.microsoft.com/office/drawing/2014/main" id="{2E6F4D0A-B74B-76A6-3AB6-398E402B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28650" y="216716372"/>
          <a:ext cx="15144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550068</xdr:colOff>
      <xdr:row>194</xdr:row>
      <xdr:rowOff>61913</xdr:rowOff>
    </xdr:from>
    <xdr:to>
      <xdr:col>0</xdr:col>
      <xdr:colOff>2221706</xdr:colOff>
      <xdr:row>194</xdr:row>
      <xdr:rowOff>1150938</xdr:rowOff>
    </xdr:to>
    <xdr:pic>
      <xdr:nvPicPr>
        <xdr:cNvPr id="389" name="Picture 388" descr="Insight Picture 388">
          <a:extLst>
            <a:ext uri="{FF2B5EF4-FFF2-40B4-BE49-F238E27FC236}">
              <a16:creationId xmlns:a16="http://schemas.microsoft.com/office/drawing/2014/main" id="{B69C96FF-F3DA-90EA-F0E8-80B9EC146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550068" y="218060588"/>
          <a:ext cx="1671638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660797</xdr:colOff>
      <xdr:row>195</xdr:row>
      <xdr:rowOff>60722</xdr:rowOff>
    </xdr:from>
    <xdr:to>
      <xdr:col>0</xdr:col>
      <xdr:colOff>2104628</xdr:colOff>
      <xdr:row>195</xdr:row>
      <xdr:rowOff>1285478</xdr:rowOff>
    </xdr:to>
    <xdr:pic>
      <xdr:nvPicPr>
        <xdr:cNvPr id="391" name="Picture 390" descr="Insight Picture 390">
          <a:extLst>
            <a:ext uri="{FF2B5EF4-FFF2-40B4-BE49-F238E27FC236}">
              <a16:creationId xmlns:a16="http://schemas.microsoft.com/office/drawing/2014/main" id="{95F01488-4C33-146A-C53F-837A55AE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660797" y="219269072"/>
          <a:ext cx="14501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567928</xdr:colOff>
      <xdr:row>196</xdr:row>
      <xdr:rowOff>59531</xdr:rowOff>
    </xdr:from>
    <xdr:to>
      <xdr:col>0</xdr:col>
      <xdr:colOff>2197497</xdr:colOff>
      <xdr:row>196</xdr:row>
      <xdr:rowOff>1273969</xdr:rowOff>
    </xdr:to>
    <xdr:pic>
      <xdr:nvPicPr>
        <xdr:cNvPr id="393" name="Picture 392" descr="Insight Picture 392">
          <a:extLst>
            <a:ext uri="{FF2B5EF4-FFF2-40B4-BE49-F238E27FC236}">
              <a16:creationId xmlns:a16="http://schemas.microsoft.com/office/drawing/2014/main" id="{7EB0518D-3B20-1169-31D3-0613E2BB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567928" y="220610906"/>
          <a:ext cx="163591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907256</xdr:colOff>
      <xdr:row>197</xdr:row>
      <xdr:rowOff>60722</xdr:rowOff>
    </xdr:from>
    <xdr:to>
      <xdr:col>0</xdr:col>
      <xdr:colOff>1867694</xdr:colOff>
      <xdr:row>197</xdr:row>
      <xdr:rowOff>942578</xdr:rowOff>
    </xdr:to>
    <xdr:pic>
      <xdr:nvPicPr>
        <xdr:cNvPr id="395" name="Picture 394" descr="Insight Picture 394">
          <a:extLst>
            <a:ext uri="{FF2B5EF4-FFF2-40B4-BE49-F238E27FC236}">
              <a16:creationId xmlns:a16="http://schemas.microsoft.com/office/drawing/2014/main" id="{291660C4-940B-F400-665E-DB42F324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907256" y="221945597"/>
          <a:ext cx="957263" cy="878681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198</xdr:row>
      <xdr:rowOff>61913</xdr:rowOff>
    </xdr:from>
    <xdr:to>
      <xdr:col>0</xdr:col>
      <xdr:colOff>2075657</xdr:colOff>
      <xdr:row>198</xdr:row>
      <xdr:rowOff>1093788</xdr:rowOff>
    </xdr:to>
    <xdr:pic>
      <xdr:nvPicPr>
        <xdr:cNvPr id="397" name="Picture 396" descr="Insight Picture 396">
          <a:extLst>
            <a:ext uri="{FF2B5EF4-FFF2-40B4-BE49-F238E27FC236}">
              <a16:creationId xmlns:a16="http://schemas.microsoft.com/office/drawing/2014/main" id="{37547FE0-FF35-294C-8A0B-CB4CEB2D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92944" y="222946913"/>
          <a:ext cx="1385888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242888</xdr:colOff>
      <xdr:row>199</xdr:row>
      <xdr:rowOff>61913</xdr:rowOff>
    </xdr:from>
    <xdr:to>
      <xdr:col>1</xdr:col>
      <xdr:colOff>112713</xdr:colOff>
      <xdr:row>199</xdr:row>
      <xdr:rowOff>1036638</xdr:rowOff>
    </xdr:to>
    <xdr:pic>
      <xdr:nvPicPr>
        <xdr:cNvPr id="399" name="Picture 398" descr="Insight Picture 398">
          <a:extLst>
            <a:ext uri="{FF2B5EF4-FFF2-40B4-BE49-F238E27FC236}">
              <a16:creationId xmlns:a16="http://schemas.microsoft.com/office/drawing/2014/main" id="{4EE05E74-F660-7CFD-267C-217096F25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242888" y="224099438"/>
          <a:ext cx="228600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289322</xdr:colOff>
      <xdr:row>200</xdr:row>
      <xdr:rowOff>60722</xdr:rowOff>
    </xdr:from>
    <xdr:to>
      <xdr:col>1</xdr:col>
      <xdr:colOff>78978</xdr:colOff>
      <xdr:row>200</xdr:row>
      <xdr:rowOff>1171178</xdr:rowOff>
    </xdr:to>
    <xdr:pic>
      <xdr:nvPicPr>
        <xdr:cNvPr id="401" name="Picture 400" descr="Insight Picture 400">
          <a:extLst>
            <a:ext uri="{FF2B5EF4-FFF2-40B4-BE49-F238E27FC236}">
              <a16:creationId xmlns:a16="http://schemas.microsoft.com/office/drawing/2014/main" id="{C383003E-BCAB-9F65-119B-29B5A927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289322" y="225193622"/>
          <a:ext cx="2193131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950119</xdr:colOff>
      <xdr:row>201</xdr:row>
      <xdr:rowOff>59531</xdr:rowOff>
    </xdr:from>
    <xdr:to>
      <xdr:col>0</xdr:col>
      <xdr:colOff>1821657</xdr:colOff>
      <xdr:row>201</xdr:row>
      <xdr:rowOff>1045369</xdr:rowOff>
    </xdr:to>
    <xdr:pic>
      <xdr:nvPicPr>
        <xdr:cNvPr id="403" name="Picture 402" descr="Insight Picture 402">
          <a:extLst>
            <a:ext uri="{FF2B5EF4-FFF2-40B4-BE49-F238E27FC236}">
              <a16:creationId xmlns:a16="http://schemas.microsoft.com/office/drawing/2014/main" id="{A88362DD-86F8-2DDC-4F05-E602A9F9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950119" y="226421156"/>
          <a:ext cx="871538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202</xdr:row>
      <xdr:rowOff>60722</xdr:rowOff>
    </xdr:from>
    <xdr:to>
      <xdr:col>0</xdr:col>
      <xdr:colOff>2075657</xdr:colOff>
      <xdr:row>202</xdr:row>
      <xdr:rowOff>999728</xdr:rowOff>
    </xdr:to>
    <xdr:pic>
      <xdr:nvPicPr>
        <xdr:cNvPr id="405" name="Picture 404" descr="Insight Picture 404">
          <a:extLst>
            <a:ext uri="{FF2B5EF4-FFF2-40B4-BE49-F238E27FC236}">
              <a16:creationId xmlns:a16="http://schemas.microsoft.com/office/drawing/2014/main" id="{5D0896D0-AC22-9821-48CC-C27F12335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92944" y="227527247"/>
          <a:ext cx="1385888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696515</xdr:colOff>
      <xdr:row>203</xdr:row>
      <xdr:rowOff>60722</xdr:rowOff>
    </xdr:from>
    <xdr:to>
      <xdr:col>0</xdr:col>
      <xdr:colOff>2078434</xdr:colOff>
      <xdr:row>203</xdr:row>
      <xdr:rowOff>1285478</xdr:rowOff>
    </xdr:to>
    <xdr:pic>
      <xdr:nvPicPr>
        <xdr:cNvPr id="407" name="Picture 406" descr="Insight Picture 406">
          <a:extLst>
            <a:ext uri="{FF2B5EF4-FFF2-40B4-BE49-F238E27FC236}">
              <a16:creationId xmlns:a16="http://schemas.microsoft.com/office/drawing/2014/main" id="{E5615E4E-2713-D2CF-8A5D-F430F3B20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696515" y="228584522"/>
          <a:ext cx="13787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204</xdr:row>
      <xdr:rowOff>63103</xdr:rowOff>
    </xdr:from>
    <xdr:to>
      <xdr:col>0</xdr:col>
      <xdr:colOff>2088753</xdr:colOff>
      <xdr:row>204</xdr:row>
      <xdr:rowOff>959247</xdr:rowOff>
    </xdr:to>
    <xdr:pic>
      <xdr:nvPicPr>
        <xdr:cNvPr id="409" name="Picture 408" descr="Insight Picture 408">
          <a:extLst>
            <a:ext uri="{FF2B5EF4-FFF2-40B4-BE49-F238E27FC236}">
              <a16:creationId xmlns:a16="http://schemas.microsoft.com/office/drawing/2014/main" id="{833DAB04-AF15-6729-BE83-AABDDFE4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89372" y="229929928"/>
          <a:ext cx="1393031" cy="892969"/>
        </a:xfrm>
        <a:prstGeom prst="rect">
          <a:avLst/>
        </a:prstGeom>
      </xdr:spPr>
    </xdr:pic>
    <xdr:clientData/>
  </xdr:twoCellAnchor>
  <xdr:twoCellAnchor editAs="oneCell">
    <xdr:from>
      <xdr:col>0</xdr:col>
      <xdr:colOff>796528</xdr:colOff>
      <xdr:row>205</xdr:row>
      <xdr:rowOff>60722</xdr:rowOff>
    </xdr:from>
    <xdr:to>
      <xdr:col>0</xdr:col>
      <xdr:colOff>1968897</xdr:colOff>
      <xdr:row>205</xdr:row>
      <xdr:rowOff>1056878</xdr:rowOff>
    </xdr:to>
    <xdr:pic>
      <xdr:nvPicPr>
        <xdr:cNvPr id="411" name="Picture 410" descr="Insight Picture 410">
          <a:extLst>
            <a:ext uri="{FF2B5EF4-FFF2-40B4-BE49-F238E27FC236}">
              <a16:creationId xmlns:a16="http://schemas.microsoft.com/office/drawing/2014/main" id="{24DF941B-7C3D-D785-7E5E-56DDBF35A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796528" y="230946722"/>
          <a:ext cx="1178719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206</xdr:row>
      <xdr:rowOff>59531</xdr:rowOff>
    </xdr:from>
    <xdr:to>
      <xdr:col>0</xdr:col>
      <xdr:colOff>2111375</xdr:colOff>
      <xdr:row>206</xdr:row>
      <xdr:rowOff>1273969</xdr:rowOff>
    </xdr:to>
    <xdr:pic>
      <xdr:nvPicPr>
        <xdr:cNvPr id="413" name="Picture 412" descr="Insight Picture 412">
          <a:extLst>
            <a:ext uri="{FF2B5EF4-FFF2-40B4-BE49-F238E27FC236}">
              <a16:creationId xmlns:a16="http://schemas.microsoft.com/office/drawing/2014/main" id="{3FC3D7DA-D2F1-8928-16F6-AABBEBAB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57225" y="232059956"/>
          <a:ext cx="1457325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660797</xdr:colOff>
      <xdr:row>207</xdr:row>
      <xdr:rowOff>63103</xdr:rowOff>
    </xdr:from>
    <xdr:to>
      <xdr:col>0</xdr:col>
      <xdr:colOff>2104628</xdr:colOff>
      <xdr:row>207</xdr:row>
      <xdr:rowOff>1244997</xdr:rowOff>
    </xdr:to>
    <xdr:pic>
      <xdr:nvPicPr>
        <xdr:cNvPr id="415" name="Picture 414" descr="Insight Picture 414">
          <a:extLst>
            <a:ext uri="{FF2B5EF4-FFF2-40B4-BE49-F238E27FC236}">
              <a16:creationId xmlns:a16="http://schemas.microsoft.com/office/drawing/2014/main" id="{83D329C3-9C0F-D07A-C098-DEF540BF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660797" y="233397028"/>
          <a:ext cx="1450181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208</xdr:row>
      <xdr:rowOff>60722</xdr:rowOff>
    </xdr:from>
    <xdr:to>
      <xdr:col>0</xdr:col>
      <xdr:colOff>2135584</xdr:colOff>
      <xdr:row>208</xdr:row>
      <xdr:rowOff>1285478</xdr:rowOff>
    </xdr:to>
    <xdr:pic>
      <xdr:nvPicPr>
        <xdr:cNvPr id="417" name="Picture 416" descr="Insight Picture 416">
          <a:extLst>
            <a:ext uri="{FF2B5EF4-FFF2-40B4-BE49-F238E27FC236}">
              <a16:creationId xmlns:a16="http://schemas.microsoft.com/office/drawing/2014/main" id="{EA412FBB-FF34-CE5C-45A8-F229AC62F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39365" y="234699572"/>
          <a:ext cx="14930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164306</xdr:colOff>
      <xdr:row>209</xdr:row>
      <xdr:rowOff>60722</xdr:rowOff>
    </xdr:from>
    <xdr:to>
      <xdr:col>1</xdr:col>
      <xdr:colOff>200819</xdr:colOff>
      <xdr:row>209</xdr:row>
      <xdr:rowOff>1285478</xdr:rowOff>
    </xdr:to>
    <xdr:pic>
      <xdr:nvPicPr>
        <xdr:cNvPr id="419" name="Picture 418" descr="Insight Picture 418">
          <a:extLst>
            <a:ext uri="{FF2B5EF4-FFF2-40B4-BE49-F238E27FC236}">
              <a16:creationId xmlns:a16="http://schemas.microsoft.com/office/drawing/2014/main" id="{E589A557-8EB8-8CC2-A591-AAB641BE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64306" y="236042597"/>
          <a:ext cx="24431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875110</xdr:colOff>
      <xdr:row>210</xdr:row>
      <xdr:rowOff>59531</xdr:rowOff>
    </xdr:from>
    <xdr:to>
      <xdr:col>0</xdr:col>
      <xdr:colOff>1896666</xdr:colOff>
      <xdr:row>210</xdr:row>
      <xdr:rowOff>1077119</xdr:rowOff>
    </xdr:to>
    <xdr:pic>
      <xdr:nvPicPr>
        <xdr:cNvPr id="421" name="Picture 420" descr="Insight Picture 420">
          <a:extLst>
            <a:ext uri="{FF2B5EF4-FFF2-40B4-BE49-F238E27FC236}">
              <a16:creationId xmlns:a16="http://schemas.microsoft.com/office/drawing/2014/main" id="{439D9644-5762-A524-3AB4-D0A4B9013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875110" y="237384431"/>
          <a:ext cx="1021556" cy="1014413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211</xdr:row>
      <xdr:rowOff>63103</xdr:rowOff>
    </xdr:from>
    <xdr:to>
      <xdr:col>0</xdr:col>
      <xdr:colOff>2036366</xdr:colOff>
      <xdr:row>211</xdr:row>
      <xdr:rowOff>902097</xdr:rowOff>
    </xdr:to>
    <xdr:pic>
      <xdr:nvPicPr>
        <xdr:cNvPr id="423" name="Picture 422" descr="Insight Picture 422">
          <a:extLst>
            <a:ext uri="{FF2B5EF4-FFF2-40B4-BE49-F238E27FC236}">
              <a16:creationId xmlns:a16="http://schemas.microsoft.com/office/drawing/2014/main" id="{53FA30CD-B73A-C947-BE26-2B5BA789E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732235" y="238521478"/>
          <a:ext cx="1307306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212</xdr:row>
      <xdr:rowOff>63103</xdr:rowOff>
    </xdr:from>
    <xdr:to>
      <xdr:col>0</xdr:col>
      <xdr:colOff>2067322</xdr:colOff>
      <xdr:row>212</xdr:row>
      <xdr:rowOff>844947</xdr:rowOff>
    </xdr:to>
    <xdr:pic>
      <xdr:nvPicPr>
        <xdr:cNvPr id="425" name="Picture 424" descr="Insight Picture 424">
          <a:extLst>
            <a:ext uri="{FF2B5EF4-FFF2-40B4-BE49-F238E27FC236}">
              <a16:creationId xmlns:a16="http://schemas.microsoft.com/office/drawing/2014/main" id="{EEE92A41-9474-F82C-A14D-053C27AA9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710803" y="23948350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539353</xdr:colOff>
      <xdr:row>213</xdr:row>
      <xdr:rowOff>63103</xdr:rowOff>
    </xdr:from>
    <xdr:to>
      <xdr:col>0</xdr:col>
      <xdr:colOff>2238772</xdr:colOff>
      <xdr:row>213</xdr:row>
      <xdr:rowOff>844947</xdr:rowOff>
    </xdr:to>
    <xdr:pic>
      <xdr:nvPicPr>
        <xdr:cNvPr id="427" name="Picture 426" descr="Insight Picture 426">
          <a:extLst>
            <a:ext uri="{FF2B5EF4-FFF2-40B4-BE49-F238E27FC236}">
              <a16:creationId xmlns:a16="http://schemas.microsoft.com/office/drawing/2014/main" id="{469A20F8-252B-465F-24BE-53A8C919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539353" y="240388378"/>
          <a:ext cx="16930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1017984</xdr:colOff>
      <xdr:row>214</xdr:row>
      <xdr:rowOff>63103</xdr:rowOff>
    </xdr:from>
    <xdr:to>
      <xdr:col>0</xdr:col>
      <xdr:colOff>1750615</xdr:colOff>
      <xdr:row>214</xdr:row>
      <xdr:rowOff>581422</xdr:rowOff>
    </xdr:to>
    <xdr:pic>
      <xdr:nvPicPr>
        <xdr:cNvPr id="429" name="Picture 428" descr="Insight Picture 428">
          <a:extLst>
            <a:ext uri="{FF2B5EF4-FFF2-40B4-BE49-F238E27FC236}">
              <a16:creationId xmlns:a16="http://schemas.microsoft.com/office/drawing/2014/main" id="{B0EEC984-F55F-047A-F2A2-FF6E1B81C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017984" y="241293253"/>
          <a:ext cx="735806" cy="521494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215</xdr:row>
      <xdr:rowOff>63103</xdr:rowOff>
    </xdr:from>
    <xdr:to>
      <xdr:col>0</xdr:col>
      <xdr:colOff>2067322</xdr:colOff>
      <xdr:row>215</xdr:row>
      <xdr:rowOff>844947</xdr:rowOff>
    </xdr:to>
    <xdr:pic>
      <xdr:nvPicPr>
        <xdr:cNvPr id="431" name="Picture 430" descr="Insight Picture 430">
          <a:extLst>
            <a:ext uri="{FF2B5EF4-FFF2-40B4-BE49-F238E27FC236}">
              <a16:creationId xmlns:a16="http://schemas.microsoft.com/office/drawing/2014/main" id="{EC85FF47-04DE-760E-E00B-6D389EFCE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710803" y="24194095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216</xdr:row>
      <xdr:rowOff>61913</xdr:rowOff>
    </xdr:from>
    <xdr:to>
      <xdr:col>0</xdr:col>
      <xdr:colOff>1950244</xdr:colOff>
      <xdr:row>216</xdr:row>
      <xdr:rowOff>1150938</xdr:rowOff>
    </xdr:to>
    <xdr:pic>
      <xdr:nvPicPr>
        <xdr:cNvPr id="433" name="Picture 432" descr="Insight Picture 432">
          <a:extLst>
            <a:ext uri="{FF2B5EF4-FFF2-40B4-BE49-F238E27FC236}">
              <a16:creationId xmlns:a16="http://schemas.microsoft.com/office/drawing/2014/main" id="{98403186-6013-B8E1-A53D-7BE5DB5F3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821531" y="242844638"/>
          <a:ext cx="1128713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467916</xdr:colOff>
      <xdr:row>217</xdr:row>
      <xdr:rowOff>59531</xdr:rowOff>
    </xdr:from>
    <xdr:to>
      <xdr:col>0</xdr:col>
      <xdr:colOff>2307035</xdr:colOff>
      <xdr:row>217</xdr:row>
      <xdr:rowOff>962819</xdr:rowOff>
    </xdr:to>
    <xdr:pic>
      <xdr:nvPicPr>
        <xdr:cNvPr id="435" name="Picture 434" descr="Insight Picture 434">
          <a:extLst>
            <a:ext uri="{FF2B5EF4-FFF2-40B4-BE49-F238E27FC236}">
              <a16:creationId xmlns:a16="http://schemas.microsoft.com/office/drawing/2014/main" id="{A2655621-8A04-9324-D538-06657D34C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67916" y="244051931"/>
          <a:ext cx="1835944" cy="900113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218</xdr:row>
      <xdr:rowOff>63103</xdr:rowOff>
    </xdr:from>
    <xdr:to>
      <xdr:col>0</xdr:col>
      <xdr:colOff>2064544</xdr:colOff>
      <xdr:row>218</xdr:row>
      <xdr:rowOff>1073547</xdr:rowOff>
    </xdr:to>
    <xdr:pic>
      <xdr:nvPicPr>
        <xdr:cNvPr id="437" name="Picture 436" descr="Insight Picture 436">
          <a:extLst>
            <a:ext uri="{FF2B5EF4-FFF2-40B4-BE49-F238E27FC236}">
              <a16:creationId xmlns:a16="http://schemas.microsoft.com/office/drawing/2014/main" id="{92D060CB-CA6B-364E-C284-8D4D3A05D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07231" y="245074678"/>
          <a:ext cx="1357313" cy="1007269"/>
        </a:xfrm>
        <a:prstGeom prst="rect">
          <a:avLst/>
        </a:prstGeom>
      </xdr:spPr>
    </xdr:pic>
    <xdr:clientData/>
  </xdr:twoCellAnchor>
  <xdr:twoCellAnchor editAs="oneCell">
    <xdr:from>
      <xdr:col>0</xdr:col>
      <xdr:colOff>696515</xdr:colOff>
      <xdr:row>219</xdr:row>
      <xdr:rowOff>60722</xdr:rowOff>
    </xdr:from>
    <xdr:to>
      <xdr:col>0</xdr:col>
      <xdr:colOff>2078434</xdr:colOff>
      <xdr:row>219</xdr:row>
      <xdr:rowOff>1285478</xdr:rowOff>
    </xdr:to>
    <xdr:pic>
      <xdr:nvPicPr>
        <xdr:cNvPr id="439" name="Picture 438" descr="Insight Picture 438">
          <a:extLst>
            <a:ext uri="{FF2B5EF4-FFF2-40B4-BE49-F238E27FC236}">
              <a16:creationId xmlns:a16="http://schemas.microsoft.com/office/drawing/2014/main" id="{8702F7F4-B0DC-DBEC-7DF1-2E2FB3365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696515" y="246205772"/>
          <a:ext cx="13787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220</xdr:row>
      <xdr:rowOff>61913</xdr:rowOff>
    </xdr:from>
    <xdr:to>
      <xdr:col>0</xdr:col>
      <xdr:colOff>2103834</xdr:colOff>
      <xdr:row>220</xdr:row>
      <xdr:rowOff>1116013</xdr:rowOff>
    </xdr:to>
    <xdr:pic>
      <xdr:nvPicPr>
        <xdr:cNvPr id="441" name="Picture 440" descr="Insight Picture 440">
          <a:extLst>
            <a:ext uri="{FF2B5EF4-FFF2-40B4-BE49-F238E27FC236}">
              <a16:creationId xmlns:a16="http://schemas.microsoft.com/office/drawing/2014/main" id="{8F7EABEC-9746-CB88-9679-2E3C9373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67940" y="247549988"/>
          <a:ext cx="1435894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450056</xdr:colOff>
      <xdr:row>221</xdr:row>
      <xdr:rowOff>60722</xdr:rowOff>
    </xdr:from>
    <xdr:to>
      <xdr:col>0</xdr:col>
      <xdr:colOff>2324894</xdr:colOff>
      <xdr:row>221</xdr:row>
      <xdr:rowOff>1285478</xdr:rowOff>
    </xdr:to>
    <xdr:pic>
      <xdr:nvPicPr>
        <xdr:cNvPr id="443" name="Picture 442" descr="Insight Picture 442">
          <a:extLst>
            <a:ext uri="{FF2B5EF4-FFF2-40B4-BE49-F238E27FC236}">
              <a16:creationId xmlns:a16="http://schemas.microsoft.com/office/drawing/2014/main" id="{FA05E1F0-8FEE-F947-FAED-4CC0B44E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50056" y="248729897"/>
          <a:ext cx="18716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842963</xdr:colOff>
      <xdr:row>222</xdr:row>
      <xdr:rowOff>63103</xdr:rowOff>
    </xdr:from>
    <xdr:to>
      <xdr:col>0</xdr:col>
      <xdr:colOff>1935163</xdr:colOff>
      <xdr:row>222</xdr:row>
      <xdr:rowOff>902097</xdr:rowOff>
    </xdr:to>
    <xdr:pic>
      <xdr:nvPicPr>
        <xdr:cNvPr id="445" name="Picture 444" descr="Insight Picture 444">
          <a:extLst>
            <a:ext uri="{FF2B5EF4-FFF2-40B4-BE49-F238E27FC236}">
              <a16:creationId xmlns:a16="http://schemas.microsoft.com/office/drawing/2014/main" id="{10C5F67B-35BF-E914-B72D-3D2A46AA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842963" y="250075303"/>
          <a:ext cx="1085850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223</xdr:row>
      <xdr:rowOff>61913</xdr:rowOff>
    </xdr:from>
    <xdr:to>
      <xdr:col>0</xdr:col>
      <xdr:colOff>1950244</xdr:colOff>
      <xdr:row>223</xdr:row>
      <xdr:rowOff>1093788</xdr:rowOff>
    </xdr:to>
    <xdr:pic>
      <xdr:nvPicPr>
        <xdr:cNvPr id="447" name="Picture 446" descr="Insight Picture 446">
          <a:extLst>
            <a:ext uri="{FF2B5EF4-FFF2-40B4-BE49-F238E27FC236}">
              <a16:creationId xmlns:a16="http://schemas.microsoft.com/office/drawing/2014/main" id="{7D108537-E697-6A6D-0014-C33730942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821531" y="251036138"/>
          <a:ext cx="1128713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360759</xdr:colOff>
      <xdr:row>224</xdr:row>
      <xdr:rowOff>60722</xdr:rowOff>
    </xdr:from>
    <xdr:to>
      <xdr:col>1</xdr:col>
      <xdr:colOff>1190</xdr:colOff>
      <xdr:row>224</xdr:row>
      <xdr:rowOff>1285478</xdr:rowOff>
    </xdr:to>
    <xdr:pic>
      <xdr:nvPicPr>
        <xdr:cNvPr id="449" name="Picture 448" descr="Insight Picture 448">
          <a:extLst>
            <a:ext uri="{FF2B5EF4-FFF2-40B4-BE49-F238E27FC236}">
              <a16:creationId xmlns:a16="http://schemas.microsoft.com/office/drawing/2014/main" id="{516B1E3F-9ABA-6AC4-00EB-7A629E91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60759" y="252187472"/>
          <a:ext cx="205025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728663</xdr:colOff>
      <xdr:row>225</xdr:row>
      <xdr:rowOff>63103</xdr:rowOff>
    </xdr:from>
    <xdr:to>
      <xdr:col>0</xdr:col>
      <xdr:colOff>2049463</xdr:colOff>
      <xdr:row>225</xdr:row>
      <xdr:rowOff>867172</xdr:rowOff>
    </xdr:to>
    <xdr:pic>
      <xdr:nvPicPr>
        <xdr:cNvPr id="451" name="Picture 450" descr="Insight Picture 450">
          <a:extLst>
            <a:ext uri="{FF2B5EF4-FFF2-40B4-BE49-F238E27FC236}">
              <a16:creationId xmlns:a16="http://schemas.microsoft.com/office/drawing/2014/main" id="{D9D203C0-6BF1-0C98-3127-F7B251965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728663" y="253532878"/>
          <a:ext cx="1314450" cy="807244"/>
        </a:xfrm>
        <a:prstGeom prst="rect">
          <a:avLst/>
        </a:prstGeom>
      </xdr:spPr>
    </xdr:pic>
    <xdr:clientData/>
  </xdr:twoCellAnchor>
  <xdr:twoCellAnchor editAs="oneCell">
    <xdr:from>
      <xdr:col>0</xdr:col>
      <xdr:colOff>464343</xdr:colOff>
      <xdr:row>226</xdr:row>
      <xdr:rowOff>59531</xdr:rowOff>
    </xdr:from>
    <xdr:to>
      <xdr:col>0</xdr:col>
      <xdr:colOff>2304256</xdr:colOff>
      <xdr:row>226</xdr:row>
      <xdr:rowOff>848519</xdr:rowOff>
    </xdr:to>
    <xdr:pic>
      <xdr:nvPicPr>
        <xdr:cNvPr id="453" name="Picture 452" descr="Insight Picture 452">
          <a:extLst>
            <a:ext uri="{FF2B5EF4-FFF2-40B4-BE49-F238E27FC236}">
              <a16:creationId xmlns:a16="http://schemas.microsoft.com/office/drawing/2014/main" id="{DE2C0841-499F-5E5A-30F0-440A780E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64343" y="254462756"/>
          <a:ext cx="1843088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227</xdr:row>
      <xdr:rowOff>61913</xdr:rowOff>
    </xdr:from>
    <xdr:to>
      <xdr:col>0</xdr:col>
      <xdr:colOff>2339975</xdr:colOff>
      <xdr:row>227</xdr:row>
      <xdr:rowOff>887413</xdr:rowOff>
    </xdr:to>
    <xdr:pic>
      <xdr:nvPicPr>
        <xdr:cNvPr id="455" name="Picture 454" descr="Insight Picture 454">
          <a:extLst>
            <a:ext uri="{FF2B5EF4-FFF2-40B4-BE49-F238E27FC236}">
              <a16:creationId xmlns:a16="http://schemas.microsoft.com/office/drawing/2014/main" id="{EE900822-F5C8-F0FA-7B49-33EEBE64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28625" y="255370013"/>
          <a:ext cx="1914525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228</xdr:row>
      <xdr:rowOff>59531</xdr:rowOff>
    </xdr:from>
    <xdr:to>
      <xdr:col>0</xdr:col>
      <xdr:colOff>2168525</xdr:colOff>
      <xdr:row>228</xdr:row>
      <xdr:rowOff>848519</xdr:rowOff>
    </xdr:to>
    <xdr:pic>
      <xdr:nvPicPr>
        <xdr:cNvPr id="457" name="Picture 456" descr="Insight Picture 456">
          <a:extLst>
            <a:ext uri="{FF2B5EF4-FFF2-40B4-BE49-F238E27FC236}">
              <a16:creationId xmlns:a16="http://schemas.microsoft.com/office/drawing/2014/main" id="{E911F77A-EFE2-9819-D6DA-9FD4791A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00075" y="256320131"/>
          <a:ext cx="1571625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242888</xdr:colOff>
      <xdr:row>229</xdr:row>
      <xdr:rowOff>59531</xdr:rowOff>
    </xdr:from>
    <xdr:to>
      <xdr:col>1</xdr:col>
      <xdr:colOff>112713</xdr:colOff>
      <xdr:row>229</xdr:row>
      <xdr:rowOff>1045369</xdr:rowOff>
    </xdr:to>
    <xdr:pic>
      <xdr:nvPicPr>
        <xdr:cNvPr id="459" name="Picture 458" descr="Insight Picture 458">
          <a:extLst>
            <a:ext uri="{FF2B5EF4-FFF2-40B4-BE49-F238E27FC236}">
              <a16:creationId xmlns:a16="http://schemas.microsoft.com/office/drawing/2014/main" id="{99C8F7B8-8C21-4098-F585-22F0994C5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242888" y="257225006"/>
          <a:ext cx="2286000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230</xdr:row>
      <xdr:rowOff>63103</xdr:rowOff>
    </xdr:from>
    <xdr:to>
      <xdr:col>0</xdr:col>
      <xdr:colOff>2036366</xdr:colOff>
      <xdr:row>230</xdr:row>
      <xdr:rowOff>902097</xdr:rowOff>
    </xdr:to>
    <xdr:pic>
      <xdr:nvPicPr>
        <xdr:cNvPr id="461" name="Picture 460" descr="Insight Picture 460">
          <a:extLst>
            <a:ext uri="{FF2B5EF4-FFF2-40B4-BE49-F238E27FC236}">
              <a16:creationId xmlns:a16="http://schemas.microsoft.com/office/drawing/2014/main" id="{6F04818D-F11E-E037-9365-4E0438E0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732235" y="258333478"/>
          <a:ext cx="1307306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850106</xdr:colOff>
      <xdr:row>231</xdr:row>
      <xdr:rowOff>60722</xdr:rowOff>
    </xdr:from>
    <xdr:to>
      <xdr:col>0</xdr:col>
      <xdr:colOff>1924844</xdr:colOff>
      <xdr:row>231</xdr:row>
      <xdr:rowOff>1285478</xdr:rowOff>
    </xdr:to>
    <xdr:pic>
      <xdr:nvPicPr>
        <xdr:cNvPr id="463" name="Picture 462" descr="Insight Picture 462">
          <a:extLst>
            <a:ext uri="{FF2B5EF4-FFF2-40B4-BE49-F238E27FC236}">
              <a16:creationId xmlns:a16="http://schemas.microsoft.com/office/drawing/2014/main" id="{2130B7D1-4C61-D5F7-0454-6470ED810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850106" y="259293122"/>
          <a:ext cx="10715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510778</xdr:colOff>
      <xdr:row>232</xdr:row>
      <xdr:rowOff>60722</xdr:rowOff>
    </xdr:from>
    <xdr:to>
      <xdr:col>0</xdr:col>
      <xdr:colOff>2254647</xdr:colOff>
      <xdr:row>232</xdr:row>
      <xdr:rowOff>1285478</xdr:rowOff>
    </xdr:to>
    <xdr:pic>
      <xdr:nvPicPr>
        <xdr:cNvPr id="465" name="Picture 464" descr="Insight Picture 464">
          <a:extLst>
            <a:ext uri="{FF2B5EF4-FFF2-40B4-BE49-F238E27FC236}">
              <a16:creationId xmlns:a16="http://schemas.microsoft.com/office/drawing/2014/main" id="{6C28145F-2A9F-D76C-A45B-942D4C61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510778" y="260636147"/>
          <a:ext cx="17502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696515</xdr:colOff>
      <xdr:row>233</xdr:row>
      <xdr:rowOff>63103</xdr:rowOff>
    </xdr:from>
    <xdr:to>
      <xdr:col>0</xdr:col>
      <xdr:colOff>2078434</xdr:colOff>
      <xdr:row>233</xdr:row>
      <xdr:rowOff>787797</xdr:rowOff>
    </xdr:to>
    <xdr:pic>
      <xdr:nvPicPr>
        <xdr:cNvPr id="467" name="Picture 466" descr="Insight Picture 466">
          <a:extLst>
            <a:ext uri="{FF2B5EF4-FFF2-40B4-BE49-F238E27FC236}">
              <a16:creationId xmlns:a16="http://schemas.microsoft.com/office/drawing/2014/main" id="{A6E54E27-3C82-A671-CF89-2F74E017B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696515" y="261981553"/>
          <a:ext cx="1378744" cy="721519"/>
        </a:xfrm>
        <a:prstGeom prst="rect">
          <a:avLst/>
        </a:prstGeom>
      </xdr:spPr>
    </xdr:pic>
    <xdr:clientData/>
  </xdr:twoCellAnchor>
  <xdr:twoCellAnchor editAs="oneCell">
    <xdr:from>
      <xdr:col>0</xdr:col>
      <xdr:colOff>767953</xdr:colOff>
      <xdr:row>234</xdr:row>
      <xdr:rowOff>59531</xdr:rowOff>
    </xdr:from>
    <xdr:to>
      <xdr:col>0</xdr:col>
      <xdr:colOff>2010172</xdr:colOff>
      <xdr:row>234</xdr:row>
      <xdr:rowOff>1273969</xdr:rowOff>
    </xdr:to>
    <xdr:pic>
      <xdr:nvPicPr>
        <xdr:cNvPr id="469" name="Picture 468" descr="Insight Picture 468">
          <a:extLst>
            <a:ext uri="{FF2B5EF4-FFF2-40B4-BE49-F238E27FC236}">
              <a16:creationId xmlns:a16="http://schemas.microsoft.com/office/drawing/2014/main" id="{1DFD4C06-5E96-276A-D14B-24262B6A4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767953" y="262825706"/>
          <a:ext cx="123586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928688</xdr:colOff>
      <xdr:row>235</xdr:row>
      <xdr:rowOff>60722</xdr:rowOff>
    </xdr:from>
    <xdr:to>
      <xdr:col>0</xdr:col>
      <xdr:colOff>1836738</xdr:colOff>
      <xdr:row>235</xdr:row>
      <xdr:rowOff>999728</xdr:rowOff>
    </xdr:to>
    <xdr:pic>
      <xdr:nvPicPr>
        <xdr:cNvPr id="471" name="Picture 470" descr="Insight Picture 470">
          <a:extLst>
            <a:ext uri="{FF2B5EF4-FFF2-40B4-BE49-F238E27FC236}">
              <a16:creationId xmlns:a16="http://schemas.microsoft.com/office/drawing/2014/main" id="{E5A4D38D-572B-43C6-B162-8FDF64BE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928688" y="264160397"/>
          <a:ext cx="914400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407193</xdr:colOff>
      <xdr:row>236</xdr:row>
      <xdr:rowOff>61913</xdr:rowOff>
    </xdr:from>
    <xdr:to>
      <xdr:col>0</xdr:col>
      <xdr:colOff>2361406</xdr:colOff>
      <xdr:row>236</xdr:row>
      <xdr:rowOff>1173163</xdr:rowOff>
    </xdr:to>
    <xdr:pic>
      <xdr:nvPicPr>
        <xdr:cNvPr id="473" name="Picture 472" descr="Insight Picture 472">
          <a:extLst>
            <a:ext uri="{FF2B5EF4-FFF2-40B4-BE49-F238E27FC236}">
              <a16:creationId xmlns:a16="http://schemas.microsoft.com/office/drawing/2014/main" id="{14F54412-F123-F1CC-4EC9-D934D82B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07193" y="265218863"/>
          <a:ext cx="1957388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237</xdr:row>
      <xdr:rowOff>61913</xdr:rowOff>
    </xdr:from>
    <xdr:to>
      <xdr:col>0</xdr:col>
      <xdr:colOff>1950244</xdr:colOff>
      <xdr:row>237</xdr:row>
      <xdr:rowOff>830263</xdr:rowOff>
    </xdr:to>
    <xdr:pic>
      <xdr:nvPicPr>
        <xdr:cNvPr id="475" name="Picture 474" descr="Insight Picture 474">
          <a:extLst>
            <a:ext uri="{FF2B5EF4-FFF2-40B4-BE49-F238E27FC236}">
              <a16:creationId xmlns:a16="http://schemas.microsoft.com/office/drawing/2014/main" id="{8A3ADD87-5B89-6FC0-325E-3A2133F9D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821531" y="266457113"/>
          <a:ext cx="1128713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238</xdr:row>
      <xdr:rowOff>61913</xdr:rowOff>
    </xdr:from>
    <xdr:to>
      <xdr:col>0</xdr:col>
      <xdr:colOff>2220913</xdr:colOff>
      <xdr:row>238</xdr:row>
      <xdr:rowOff>773113</xdr:rowOff>
    </xdr:to>
    <xdr:pic>
      <xdr:nvPicPr>
        <xdr:cNvPr id="477" name="Picture 476" descr="Insight Picture 476">
          <a:extLst>
            <a:ext uri="{FF2B5EF4-FFF2-40B4-BE49-F238E27FC236}">
              <a16:creationId xmlns:a16="http://schemas.microsoft.com/office/drawing/2014/main" id="{6A8A9468-6C0A-1199-3E3C-71A36F4DD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557213" y="267352463"/>
          <a:ext cx="165735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739378</xdr:colOff>
      <xdr:row>239</xdr:row>
      <xdr:rowOff>61913</xdr:rowOff>
    </xdr:from>
    <xdr:to>
      <xdr:col>0</xdr:col>
      <xdr:colOff>2026047</xdr:colOff>
      <xdr:row>239</xdr:row>
      <xdr:rowOff>887413</xdr:rowOff>
    </xdr:to>
    <xdr:pic>
      <xdr:nvPicPr>
        <xdr:cNvPr id="479" name="Picture 478" descr="Insight Picture 478">
          <a:extLst>
            <a:ext uri="{FF2B5EF4-FFF2-40B4-BE49-F238E27FC236}">
              <a16:creationId xmlns:a16="http://schemas.microsoft.com/office/drawing/2014/main" id="{84F3828F-065C-C04F-0420-2CAB12EF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739378" y="268190663"/>
          <a:ext cx="1293019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240</xdr:row>
      <xdr:rowOff>61913</xdr:rowOff>
    </xdr:from>
    <xdr:to>
      <xdr:col>0</xdr:col>
      <xdr:colOff>2036366</xdr:colOff>
      <xdr:row>240</xdr:row>
      <xdr:rowOff>808038</xdr:rowOff>
    </xdr:to>
    <xdr:pic>
      <xdr:nvPicPr>
        <xdr:cNvPr id="481" name="Picture 480" descr="Insight Picture 480">
          <a:extLst>
            <a:ext uri="{FF2B5EF4-FFF2-40B4-BE49-F238E27FC236}">
              <a16:creationId xmlns:a16="http://schemas.microsoft.com/office/drawing/2014/main" id="{95EBC580-A622-0C0C-29BA-91D9FB537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732235" y="269143163"/>
          <a:ext cx="130730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160734</xdr:colOff>
      <xdr:row>241</xdr:row>
      <xdr:rowOff>60722</xdr:rowOff>
    </xdr:from>
    <xdr:to>
      <xdr:col>1</xdr:col>
      <xdr:colOff>198040</xdr:colOff>
      <xdr:row>241</xdr:row>
      <xdr:rowOff>1285478</xdr:rowOff>
    </xdr:to>
    <xdr:pic>
      <xdr:nvPicPr>
        <xdr:cNvPr id="483" name="Picture 482" descr="Insight Picture 482">
          <a:extLst>
            <a:ext uri="{FF2B5EF4-FFF2-40B4-BE49-F238E27FC236}">
              <a16:creationId xmlns:a16="http://schemas.microsoft.com/office/drawing/2014/main" id="{3FAE6FC1-2760-5F42-E4DD-3D0F7A67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60734" y="270008747"/>
          <a:ext cx="24503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696515</xdr:colOff>
      <xdr:row>242</xdr:row>
      <xdr:rowOff>60722</xdr:rowOff>
    </xdr:from>
    <xdr:to>
      <xdr:col>0</xdr:col>
      <xdr:colOff>2078434</xdr:colOff>
      <xdr:row>242</xdr:row>
      <xdr:rowOff>1285478</xdr:rowOff>
    </xdr:to>
    <xdr:pic>
      <xdr:nvPicPr>
        <xdr:cNvPr id="485" name="Picture 484" descr="Insight Picture 484">
          <a:extLst>
            <a:ext uri="{FF2B5EF4-FFF2-40B4-BE49-F238E27FC236}">
              <a16:creationId xmlns:a16="http://schemas.microsoft.com/office/drawing/2014/main" id="{C4A133B1-293E-7781-E4C7-D74B4A7C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96515" y="271351772"/>
          <a:ext cx="13787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871538</xdr:colOff>
      <xdr:row>243</xdr:row>
      <xdr:rowOff>60722</xdr:rowOff>
    </xdr:from>
    <xdr:to>
      <xdr:col>0</xdr:col>
      <xdr:colOff>1893888</xdr:colOff>
      <xdr:row>243</xdr:row>
      <xdr:rowOff>1285478</xdr:rowOff>
    </xdr:to>
    <xdr:pic>
      <xdr:nvPicPr>
        <xdr:cNvPr id="487" name="Picture 486" descr="Insight Picture 486">
          <a:extLst>
            <a:ext uri="{FF2B5EF4-FFF2-40B4-BE49-F238E27FC236}">
              <a16:creationId xmlns:a16="http://schemas.microsoft.com/office/drawing/2014/main" id="{BA683564-B723-98A6-6A56-2204254E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871538" y="272694797"/>
          <a:ext cx="10287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244</xdr:row>
      <xdr:rowOff>60722</xdr:rowOff>
    </xdr:from>
    <xdr:to>
      <xdr:col>0</xdr:col>
      <xdr:colOff>1939925</xdr:colOff>
      <xdr:row>244</xdr:row>
      <xdr:rowOff>1285478</xdr:rowOff>
    </xdr:to>
    <xdr:pic>
      <xdr:nvPicPr>
        <xdr:cNvPr id="489" name="Picture 488" descr="Insight Picture 488">
          <a:extLst>
            <a:ext uri="{FF2B5EF4-FFF2-40B4-BE49-F238E27FC236}">
              <a16:creationId xmlns:a16="http://schemas.microsoft.com/office/drawing/2014/main" id="{91315C18-47B7-037E-8A65-05F397B66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828675" y="274037822"/>
          <a:ext cx="11144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478631</xdr:colOff>
      <xdr:row>245</xdr:row>
      <xdr:rowOff>63103</xdr:rowOff>
    </xdr:from>
    <xdr:to>
      <xdr:col>0</xdr:col>
      <xdr:colOff>2293144</xdr:colOff>
      <xdr:row>245</xdr:row>
      <xdr:rowOff>787797</xdr:rowOff>
    </xdr:to>
    <xdr:pic>
      <xdr:nvPicPr>
        <xdr:cNvPr id="491" name="Picture 490" descr="Insight Picture 490">
          <a:extLst>
            <a:ext uri="{FF2B5EF4-FFF2-40B4-BE49-F238E27FC236}">
              <a16:creationId xmlns:a16="http://schemas.microsoft.com/office/drawing/2014/main" id="{065E6A1E-5AFE-6B1D-89A6-8DC095B3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478631" y="275383228"/>
          <a:ext cx="1814513" cy="721519"/>
        </a:xfrm>
        <a:prstGeom prst="rect">
          <a:avLst/>
        </a:prstGeom>
      </xdr:spPr>
    </xdr:pic>
    <xdr:clientData/>
  </xdr:twoCellAnchor>
  <xdr:twoCellAnchor editAs="oneCell">
    <xdr:from>
      <xdr:col>0</xdr:col>
      <xdr:colOff>407193</xdr:colOff>
      <xdr:row>246</xdr:row>
      <xdr:rowOff>63103</xdr:rowOff>
    </xdr:from>
    <xdr:to>
      <xdr:col>0</xdr:col>
      <xdr:colOff>2361406</xdr:colOff>
      <xdr:row>246</xdr:row>
      <xdr:rowOff>1267222</xdr:rowOff>
    </xdr:to>
    <xdr:pic>
      <xdr:nvPicPr>
        <xdr:cNvPr id="493" name="Picture 492" descr="Insight Picture 492">
          <a:extLst>
            <a:ext uri="{FF2B5EF4-FFF2-40B4-BE49-F238E27FC236}">
              <a16:creationId xmlns:a16="http://schemas.microsoft.com/office/drawing/2014/main" id="{418071BB-9AA9-0E3A-A9BD-CF671B834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7193" y="276230953"/>
          <a:ext cx="1957388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247</xdr:row>
      <xdr:rowOff>60722</xdr:rowOff>
    </xdr:from>
    <xdr:to>
      <xdr:col>0</xdr:col>
      <xdr:colOff>2085975</xdr:colOff>
      <xdr:row>247</xdr:row>
      <xdr:rowOff>1285478</xdr:rowOff>
    </xdr:to>
    <xdr:pic>
      <xdr:nvPicPr>
        <xdr:cNvPr id="495" name="Picture 494" descr="Insight Picture 494">
          <a:extLst>
            <a:ext uri="{FF2B5EF4-FFF2-40B4-BE49-F238E27FC236}">
              <a16:creationId xmlns:a16="http://schemas.microsoft.com/office/drawing/2014/main" id="{E232E499-3DEE-92CC-BE23-AA16F9CF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685800" y="277562072"/>
          <a:ext cx="14001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546497</xdr:colOff>
      <xdr:row>248</xdr:row>
      <xdr:rowOff>63103</xdr:rowOff>
    </xdr:from>
    <xdr:to>
      <xdr:col>0</xdr:col>
      <xdr:colOff>2218928</xdr:colOff>
      <xdr:row>248</xdr:row>
      <xdr:rowOff>1073547</xdr:rowOff>
    </xdr:to>
    <xdr:pic>
      <xdr:nvPicPr>
        <xdr:cNvPr id="497" name="Picture 496" descr="Insight Picture 496">
          <a:extLst>
            <a:ext uri="{FF2B5EF4-FFF2-40B4-BE49-F238E27FC236}">
              <a16:creationId xmlns:a16="http://schemas.microsoft.com/office/drawing/2014/main" id="{3D0BDBA5-D00B-0009-A69C-AEFE7B0F2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546497" y="278907478"/>
          <a:ext cx="1678781" cy="1007269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249</xdr:row>
      <xdr:rowOff>63103</xdr:rowOff>
    </xdr:from>
    <xdr:to>
      <xdr:col>0</xdr:col>
      <xdr:colOff>2192734</xdr:colOff>
      <xdr:row>249</xdr:row>
      <xdr:rowOff>1095772</xdr:rowOff>
    </xdr:to>
    <xdr:pic>
      <xdr:nvPicPr>
        <xdr:cNvPr id="499" name="Picture 498" descr="Insight Picture 498">
          <a:extLst>
            <a:ext uri="{FF2B5EF4-FFF2-40B4-BE49-F238E27FC236}">
              <a16:creationId xmlns:a16="http://schemas.microsoft.com/office/drawing/2014/main" id="{117BFE30-F4BE-4247-7471-4F8A6744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582215" y="280040953"/>
          <a:ext cx="1607344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460772</xdr:colOff>
      <xdr:row>250</xdr:row>
      <xdr:rowOff>60722</xdr:rowOff>
    </xdr:from>
    <xdr:to>
      <xdr:col>0</xdr:col>
      <xdr:colOff>2317353</xdr:colOff>
      <xdr:row>250</xdr:row>
      <xdr:rowOff>1285478</xdr:rowOff>
    </xdr:to>
    <xdr:pic>
      <xdr:nvPicPr>
        <xdr:cNvPr id="501" name="Picture 500" descr="Insight Picture 500">
          <a:extLst>
            <a:ext uri="{FF2B5EF4-FFF2-40B4-BE49-F238E27FC236}">
              <a16:creationId xmlns:a16="http://schemas.microsoft.com/office/drawing/2014/main" id="{AB4EAED5-BF16-A9D4-E613-D2179FAF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60772" y="281200622"/>
          <a:ext cx="18502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251</xdr:row>
      <xdr:rowOff>60722</xdr:rowOff>
    </xdr:from>
    <xdr:to>
      <xdr:col>0</xdr:col>
      <xdr:colOff>2075657</xdr:colOff>
      <xdr:row>251</xdr:row>
      <xdr:rowOff>793353</xdr:rowOff>
    </xdr:to>
    <xdr:pic>
      <xdr:nvPicPr>
        <xdr:cNvPr id="503" name="Picture 502" descr="Insight Picture 502">
          <a:extLst>
            <a:ext uri="{FF2B5EF4-FFF2-40B4-BE49-F238E27FC236}">
              <a16:creationId xmlns:a16="http://schemas.microsoft.com/office/drawing/2014/main" id="{ADF111BC-BE0C-4BDD-265F-B34294288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692944" y="282543647"/>
          <a:ext cx="1385888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617935</xdr:colOff>
      <xdr:row>252</xdr:row>
      <xdr:rowOff>60722</xdr:rowOff>
    </xdr:from>
    <xdr:to>
      <xdr:col>0</xdr:col>
      <xdr:colOff>2150666</xdr:colOff>
      <xdr:row>252</xdr:row>
      <xdr:rowOff>1285478</xdr:rowOff>
    </xdr:to>
    <xdr:pic>
      <xdr:nvPicPr>
        <xdr:cNvPr id="505" name="Picture 504" descr="Insight Picture 504">
          <a:extLst>
            <a:ext uri="{FF2B5EF4-FFF2-40B4-BE49-F238E27FC236}">
              <a16:creationId xmlns:a16="http://schemas.microsoft.com/office/drawing/2014/main" id="{DD689889-18C2-1B8E-6AD3-015662B1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17935" y="283400897"/>
          <a:ext cx="15359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675085</xdr:colOff>
      <xdr:row>253</xdr:row>
      <xdr:rowOff>60722</xdr:rowOff>
    </xdr:from>
    <xdr:to>
      <xdr:col>0</xdr:col>
      <xdr:colOff>2093516</xdr:colOff>
      <xdr:row>253</xdr:row>
      <xdr:rowOff>1285478</xdr:rowOff>
    </xdr:to>
    <xdr:pic>
      <xdr:nvPicPr>
        <xdr:cNvPr id="507" name="Picture 506" descr="Insight Picture 506">
          <a:extLst>
            <a:ext uri="{FF2B5EF4-FFF2-40B4-BE49-F238E27FC236}">
              <a16:creationId xmlns:a16="http://schemas.microsoft.com/office/drawing/2014/main" id="{294A4C79-81A6-73F4-790A-D78968ED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675085" y="284743922"/>
          <a:ext cx="14216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507206</xdr:colOff>
      <xdr:row>254</xdr:row>
      <xdr:rowOff>60722</xdr:rowOff>
    </xdr:from>
    <xdr:to>
      <xdr:col>0</xdr:col>
      <xdr:colOff>2267744</xdr:colOff>
      <xdr:row>254</xdr:row>
      <xdr:rowOff>999728</xdr:rowOff>
    </xdr:to>
    <xdr:pic>
      <xdr:nvPicPr>
        <xdr:cNvPr id="509" name="Picture 508" descr="Insight Picture 508">
          <a:extLst>
            <a:ext uri="{FF2B5EF4-FFF2-40B4-BE49-F238E27FC236}">
              <a16:creationId xmlns:a16="http://schemas.microsoft.com/office/drawing/2014/main" id="{A0CEBAE1-C594-F02C-FAD0-5E8B1704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507206" y="286086947"/>
          <a:ext cx="1757363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592931</xdr:colOff>
      <xdr:row>255</xdr:row>
      <xdr:rowOff>61913</xdr:rowOff>
    </xdr:from>
    <xdr:to>
      <xdr:col>0</xdr:col>
      <xdr:colOff>2178844</xdr:colOff>
      <xdr:row>255</xdr:row>
      <xdr:rowOff>979488</xdr:rowOff>
    </xdr:to>
    <xdr:pic>
      <xdr:nvPicPr>
        <xdr:cNvPr id="511" name="Picture 510" descr="Insight Picture 510">
          <a:extLst>
            <a:ext uri="{FF2B5EF4-FFF2-40B4-BE49-F238E27FC236}">
              <a16:creationId xmlns:a16="http://schemas.microsoft.com/office/drawing/2014/main" id="{C98F80EC-C596-8B0B-E827-E3B25E81F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592931" y="287145413"/>
          <a:ext cx="1585913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335756</xdr:colOff>
      <xdr:row>256</xdr:row>
      <xdr:rowOff>61913</xdr:rowOff>
    </xdr:from>
    <xdr:to>
      <xdr:col>1</xdr:col>
      <xdr:colOff>29369</xdr:colOff>
      <xdr:row>256</xdr:row>
      <xdr:rowOff>1173163</xdr:rowOff>
    </xdr:to>
    <xdr:pic>
      <xdr:nvPicPr>
        <xdr:cNvPr id="513" name="Picture 512" descr="Insight Picture 512">
          <a:extLst>
            <a:ext uri="{FF2B5EF4-FFF2-40B4-BE49-F238E27FC236}">
              <a16:creationId xmlns:a16="http://schemas.microsoft.com/office/drawing/2014/main" id="{6AB9B31A-2D80-488D-1836-25607DB56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335756" y="288183638"/>
          <a:ext cx="2100263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475059</xdr:colOff>
      <xdr:row>257</xdr:row>
      <xdr:rowOff>59531</xdr:rowOff>
    </xdr:from>
    <xdr:to>
      <xdr:col>0</xdr:col>
      <xdr:colOff>2296715</xdr:colOff>
      <xdr:row>257</xdr:row>
      <xdr:rowOff>1102519</xdr:rowOff>
    </xdr:to>
    <xdr:pic>
      <xdr:nvPicPr>
        <xdr:cNvPr id="515" name="Picture 514" descr="Insight Picture 514">
          <a:extLst>
            <a:ext uri="{FF2B5EF4-FFF2-40B4-BE49-F238E27FC236}">
              <a16:creationId xmlns:a16="http://schemas.microsoft.com/office/drawing/2014/main" id="{A40B1E40-4739-9DE1-4819-710F7C6F6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475059" y="289419506"/>
          <a:ext cx="1821656" cy="1042988"/>
        </a:xfrm>
        <a:prstGeom prst="rect">
          <a:avLst/>
        </a:prstGeom>
      </xdr:spPr>
    </xdr:pic>
    <xdr:clientData/>
  </xdr:twoCellAnchor>
  <xdr:twoCellAnchor editAs="oneCell">
    <xdr:from>
      <xdr:col>0</xdr:col>
      <xdr:colOff>478631</xdr:colOff>
      <xdr:row>258</xdr:row>
      <xdr:rowOff>63103</xdr:rowOff>
    </xdr:from>
    <xdr:to>
      <xdr:col>0</xdr:col>
      <xdr:colOff>2293144</xdr:colOff>
      <xdr:row>258</xdr:row>
      <xdr:rowOff>1095772</xdr:rowOff>
    </xdr:to>
    <xdr:pic>
      <xdr:nvPicPr>
        <xdr:cNvPr id="517" name="Picture 516" descr="Insight Picture 516">
          <a:extLst>
            <a:ext uri="{FF2B5EF4-FFF2-40B4-BE49-F238E27FC236}">
              <a16:creationId xmlns:a16="http://schemas.microsoft.com/office/drawing/2014/main" id="{80A80D65-D8A6-42FF-E874-F76162A48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478631" y="290585128"/>
          <a:ext cx="1814513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259</xdr:row>
      <xdr:rowOff>63103</xdr:rowOff>
    </xdr:from>
    <xdr:to>
      <xdr:col>0</xdr:col>
      <xdr:colOff>2096294</xdr:colOff>
      <xdr:row>259</xdr:row>
      <xdr:rowOff>981472</xdr:rowOff>
    </xdr:to>
    <xdr:pic>
      <xdr:nvPicPr>
        <xdr:cNvPr id="519" name="Picture 518" descr="Insight Picture 518">
          <a:extLst>
            <a:ext uri="{FF2B5EF4-FFF2-40B4-BE49-F238E27FC236}">
              <a16:creationId xmlns:a16="http://schemas.microsoft.com/office/drawing/2014/main" id="{EF9C4673-C4BE-8207-FEB2-8FBC976E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678656" y="291747178"/>
          <a:ext cx="1414463" cy="921544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260</xdr:row>
      <xdr:rowOff>61913</xdr:rowOff>
    </xdr:from>
    <xdr:to>
      <xdr:col>0</xdr:col>
      <xdr:colOff>2103834</xdr:colOff>
      <xdr:row>260</xdr:row>
      <xdr:rowOff>1001713</xdr:rowOff>
    </xdr:to>
    <xdr:pic>
      <xdr:nvPicPr>
        <xdr:cNvPr id="521" name="Picture 520" descr="Insight Picture 520">
          <a:extLst>
            <a:ext uri="{FF2B5EF4-FFF2-40B4-BE49-F238E27FC236}">
              <a16:creationId xmlns:a16="http://schemas.microsoft.com/office/drawing/2014/main" id="{A836B525-2B1A-AA38-594F-074E6B3CC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67940" y="292793738"/>
          <a:ext cx="1435894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261</xdr:row>
      <xdr:rowOff>60722</xdr:rowOff>
    </xdr:from>
    <xdr:to>
      <xdr:col>0</xdr:col>
      <xdr:colOff>2161778</xdr:colOff>
      <xdr:row>261</xdr:row>
      <xdr:rowOff>793353</xdr:rowOff>
    </xdr:to>
    <xdr:pic>
      <xdr:nvPicPr>
        <xdr:cNvPr id="523" name="Picture 522" descr="Insight Picture 522">
          <a:extLst>
            <a:ext uri="{FF2B5EF4-FFF2-40B4-BE49-F238E27FC236}">
              <a16:creationId xmlns:a16="http://schemas.microsoft.com/office/drawing/2014/main" id="{E2743F2E-5868-5CF8-7615-96D06347C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603647" y="293859347"/>
          <a:ext cx="1564481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262</xdr:row>
      <xdr:rowOff>60722</xdr:rowOff>
    </xdr:from>
    <xdr:to>
      <xdr:col>0</xdr:col>
      <xdr:colOff>2192734</xdr:colOff>
      <xdr:row>262</xdr:row>
      <xdr:rowOff>542528</xdr:rowOff>
    </xdr:to>
    <xdr:pic>
      <xdr:nvPicPr>
        <xdr:cNvPr id="525" name="Picture 524" descr="Insight Picture 524">
          <a:extLst>
            <a:ext uri="{FF2B5EF4-FFF2-40B4-BE49-F238E27FC236}">
              <a16:creationId xmlns:a16="http://schemas.microsoft.com/office/drawing/2014/main" id="{53C1C3F9-E1AD-AEA3-4EAB-05BE77563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582215" y="294716597"/>
          <a:ext cx="1607344" cy="478631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263</xdr:row>
      <xdr:rowOff>60722</xdr:rowOff>
    </xdr:from>
    <xdr:to>
      <xdr:col>0</xdr:col>
      <xdr:colOff>1997075</xdr:colOff>
      <xdr:row>263</xdr:row>
      <xdr:rowOff>1136253</xdr:rowOff>
    </xdr:to>
    <xdr:pic>
      <xdr:nvPicPr>
        <xdr:cNvPr id="527" name="Picture 526" descr="Insight Picture 526">
          <a:extLst>
            <a:ext uri="{FF2B5EF4-FFF2-40B4-BE49-F238E27FC236}">
              <a16:creationId xmlns:a16="http://schemas.microsoft.com/office/drawing/2014/main" id="{0BCA4417-D00E-4793-CF6B-141C7E2F5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771525" y="295316672"/>
          <a:ext cx="1228725" cy="1078706"/>
        </a:xfrm>
        <a:prstGeom prst="rect">
          <a:avLst/>
        </a:prstGeom>
      </xdr:spPr>
    </xdr:pic>
    <xdr:clientData/>
  </xdr:twoCellAnchor>
  <xdr:twoCellAnchor editAs="oneCell">
    <xdr:from>
      <xdr:col>0</xdr:col>
      <xdr:colOff>739378</xdr:colOff>
      <xdr:row>264</xdr:row>
      <xdr:rowOff>60722</xdr:rowOff>
    </xdr:from>
    <xdr:to>
      <xdr:col>0</xdr:col>
      <xdr:colOff>2026047</xdr:colOff>
      <xdr:row>264</xdr:row>
      <xdr:rowOff>1285478</xdr:rowOff>
    </xdr:to>
    <xdr:pic>
      <xdr:nvPicPr>
        <xdr:cNvPr id="529" name="Picture 528" descr="Insight Picture 528">
          <a:extLst>
            <a:ext uri="{FF2B5EF4-FFF2-40B4-BE49-F238E27FC236}">
              <a16:creationId xmlns:a16="http://schemas.microsoft.com/office/drawing/2014/main" id="{D26AD638-30D9-C5E7-AF5B-8763ED27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739378" y="296516822"/>
          <a:ext cx="12930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575072</xdr:colOff>
      <xdr:row>265</xdr:row>
      <xdr:rowOff>63103</xdr:rowOff>
    </xdr:from>
    <xdr:to>
      <xdr:col>0</xdr:col>
      <xdr:colOff>2203053</xdr:colOff>
      <xdr:row>265</xdr:row>
      <xdr:rowOff>752872</xdr:rowOff>
    </xdr:to>
    <xdr:pic>
      <xdr:nvPicPr>
        <xdr:cNvPr id="531" name="Picture 530" descr="Insight Picture 530">
          <a:extLst>
            <a:ext uri="{FF2B5EF4-FFF2-40B4-BE49-F238E27FC236}">
              <a16:creationId xmlns:a16="http://schemas.microsoft.com/office/drawing/2014/main" id="{3A2196F0-DAC4-9415-5991-39D470FC1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575072" y="297862228"/>
          <a:ext cx="1621631" cy="692944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266</xdr:row>
      <xdr:rowOff>59531</xdr:rowOff>
    </xdr:from>
    <xdr:to>
      <xdr:col>0</xdr:col>
      <xdr:colOff>2135584</xdr:colOff>
      <xdr:row>266</xdr:row>
      <xdr:rowOff>1102519</xdr:rowOff>
    </xdr:to>
    <xdr:pic>
      <xdr:nvPicPr>
        <xdr:cNvPr id="533" name="Picture 532" descr="Insight Picture 532">
          <a:extLst>
            <a:ext uri="{FF2B5EF4-FFF2-40B4-BE49-F238E27FC236}">
              <a16:creationId xmlns:a16="http://schemas.microsoft.com/office/drawing/2014/main" id="{C2F6BDCD-CD29-BF0D-1B76-5682F1BEA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39365" y="298677806"/>
          <a:ext cx="1493044" cy="1042988"/>
        </a:xfrm>
        <a:prstGeom prst="rect">
          <a:avLst/>
        </a:prstGeom>
      </xdr:spPr>
    </xdr:pic>
    <xdr:clientData/>
  </xdr:twoCellAnchor>
  <xdr:twoCellAnchor editAs="oneCell">
    <xdr:from>
      <xdr:col>0</xdr:col>
      <xdr:colOff>475059</xdr:colOff>
      <xdr:row>267</xdr:row>
      <xdr:rowOff>60722</xdr:rowOff>
    </xdr:from>
    <xdr:to>
      <xdr:col>0</xdr:col>
      <xdr:colOff>2296715</xdr:colOff>
      <xdr:row>267</xdr:row>
      <xdr:rowOff>1056878</xdr:rowOff>
    </xdr:to>
    <xdr:pic>
      <xdr:nvPicPr>
        <xdr:cNvPr id="535" name="Picture 534" descr="Insight Picture 534">
          <a:extLst>
            <a:ext uri="{FF2B5EF4-FFF2-40B4-BE49-F238E27FC236}">
              <a16:creationId xmlns:a16="http://schemas.microsoft.com/office/drawing/2014/main" id="{3E0C6C23-07AF-C2CC-942A-AB35DEE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475059" y="299841047"/>
          <a:ext cx="1821656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953690</xdr:colOff>
      <xdr:row>268</xdr:row>
      <xdr:rowOff>60722</xdr:rowOff>
    </xdr:from>
    <xdr:to>
      <xdr:col>0</xdr:col>
      <xdr:colOff>1818084</xdr:colOff>
      <xdr:row>268</xdr:row>
      <xdr:rowOff>1285478</xdr:rowOff>
    </xdr:to>
    <xdr:pic>
      <xdr:nvPicPr>
        <xdr:cNvPr id="537" name="Picture 536" descr="Insight Picture 536">
          <a:extLst>
            <a:ext uri="{FF2B5EF4-FFF2-40B4-BE49-F238E27FC236}">
              <a16:creationId xmlns:a16="http://schemas.microsoft.com/office/drawing/2014/main" id="{D2FE2207-C40C-BE44-EA10-B3D780CF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953690" y="300955472"/>
          <a:ext cx="8643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269</xdr:row>
      <xdr:rowOff>61913</xdr:rowOff>
    </xdr:from>
    <xdr:to>
      <xdr:col>1</xdr:col>
      <xdr:colOff>94060</xdr:colOff>
      <xdr:row>269</xdr:row>
      <xdr:rowOff>865188</xdr:rowOff>
    </xdr:to>
    <xdr:pic>
      <xdr:nvPicPr>
        <xdr:cNvPr id="539" name="Picture 538" descr="Insight Picture 538">
          <a:extLst>
            <a:ext uri="{FF2B5EF4-FFF2-40B4-BE49-F238E27FC236}">
              <a16:creationId xmlns:a16="http://schemas.microsoft.com/office/drawing/2014/main" id="{0D596AF2-EC1E-7586-F3C2-E692222C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267891" y="302299688"/>
          <a:ext cx="223599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270</xdr:row>
      <xdr:rowOff>60722</xdr:rowOff>
    </xdr:from>
    <xdr:to>
      <xdr:col>1</xdr:col>
      <xdr:colOff>101600</xdr:colOff>
      <xdr:row>270</xdr:row>
      <xdr:rowOff>599678</xdr:rowOff>
    </xdr:to>
    <xdr:pic>
      <xdr:nvPicPr>
        <xdr:cNvPr id="541" name="Picture 540" descr="Insight Picture 540">
          <a:extLst>
            <a:ext uri="{FF2B5EF4-FFF2-40B4-BE49-F238E27FC236}">
              <a16:creationId xmlns:a16="http://schemas.microsoft.com/office/drawing/2014/main" id="{8733637E-6925-EC36-AE96-7EF7476B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257175" y="303222422"/>
          <a:ext cx="2257425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271</xdr:row>
      <xdr:rowOff>63103</xdr:rowOff>
    </xdr:from>
    <xdr:to>
      <xdr:col>0</xdr:col>
      <xdr:colOff>1882775</xdr:colOff>
      <xdr:row>271</xdr:row>
      <xdr:rowOff>1038622</xdr:rowOff>
    </xdr:to>
    <xdr:pic>
      <xdr:nvPicPr>
        <xdr:cNvPr id="543" name="Picture 542" descr="Insight Picture 542">
          <a:extLst>
            <a:ext uri="{FF2B5EF4-FFF2-40B4-BE49-F238E27FC236}">
              <a16:creationId xmlns:a16="http://schemas.microsoft.com/office/drawing/2014/main" id="{D7BE856B-3DC7-1C29-6F36-C450E0962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885825" y="303882028"/>
          <a:ext cx="1000125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272</xdr:row>
      <xdr:rowOff>61913</xdr:rowOff>
    </xdr:from>
    <xdr:to>
      <xdr:col>1</xdr:col>
      <xdr:colOff>153988</xdr:colOff>
      <xdr:row>272</xdr:row>
      <xdr:rowOff>1208088</xdr:rowOff>
    </xdr:to>
    <xdr:pic>
      <xdr:nvPicPr>
        <xdr:cNvPr id="545" name="Picture 544" descr="Insight Picture 544">
          <a:extLst>
            <a:ext uri="{FF2B5EF4-FFF2-40B4-BE49-F238E27FC236}">
              <a16:creationId xmlns:a16="http://schemas.microsoft.com/office/drawing/2014/main" id="{FDFAC2AB-6DE9-64B7-9731-4829AE21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214313" y="304985738"/>
          <a:ext cx="23431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839390</xdr:colOff>
      <xdr:row>273</xdr:row>
      <xdr:rowOff>60722</xdr:rowOff>
    </xdr:from>
    <xdr:to>
      <xdr:col>0</xdr:col>
      <xdr:colOff>1932384</xdr:colOff>
      <xdr:row>273</xdr:row>
      <xdr:rowOff>1285478</xdr:rowOff>
    </xdr:to>
    <xdr:pic>
      <xdr:nvPicPr>
        <xdr:cNvPr id="547" name="Picture 546" descr="Insight Picture 546">
          <a:extLst>
            <a:ext uri="{FF2B5EF4-FFF2-40B4-BE49-F238E27FC236}">
              <a16:creationId xmlns:a16="http://schemas.microsoft.com/office/drawing/2014/main" id="{C704105D-9E49-8078-8365-880588EC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839390" y="306251372"/>
          <a:ext cx="10929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564356</xdr:colOff>
      <xdr:row>274</xdr:row>
      <xdr:rowOff>63103</xdr:rowOff>
    </xdr:from>
    <xdr:to>
      <xdr:col>0</xdr:col>
      <xdr:colOff>2210594</xdr:colOff>
      <xdr:row>274</xdr:row>
      <xdr:rowOff>1095772</xdr:rowOff>
    </xdr:to>
    <xdr:pic>
      <xdr:nvPicPr>
        <xdr:cNvPr id="549" name="Picture 548" descr="Insight Picture 548">
          <a:extLst>
            <a:ext uri="{FF2B5EF4-FFF2-40B4-BE49-F238E27FC236}">
              <a16:creationId xmlns:a16="http://schemas.microsoft.com/office/drawing/2014/main" id="{FF984015-E1AF-AA04-FC64-82E2EAFED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564356" y="307596778"/>
          <a:ext cx="1643063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953690</xdr:colOff>
      <xdr:row>275</xdr:row>
      <xdr:rowOff>60722</xdr:rowOff>
    </xdr:from>
    <xdr:to>
      <xdr:col>0</xdr:col>
      <xdr:colOff>1818084</xdr:colOff>
      <xdr:row>275</xdr:row>
      <xdr:rowOff>1285478</xdr:rowOff>
    </xdr:to>
    <xdr:pic>
      <xdr:nvPicPr>
        <xdr:cNvPr id="551" name="Picture 550" descr="Insight Picture 550">
          <a:extLst>
            <a:ext uri="{FF2B5EF4-FFF2-40B4-BE49-F238E27FC236}">
              <a16:creationId xmlns:a16="http://schemas.microsoft.com/office/drawing/2014/main" id="{B581C38A-E51E-C88F-98B3-AD35E458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953690" y="308756447"/>
          <a:ext cx="8643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489347</xdr:colOff>
      <xdr:row>276</xdr:row>
      <xdr:rowOff>60722</xdr:rowOff>
    </xdr:from>
    <xdr:to>
      <xdr:col>0</xdr:col>
      <xdr:colOff>2276078</xdr:colOff>
      <xdr:row>276</xdr:row>
      <xdr:rowOff>1285478</xdr:rowOff>
    </xdr:to>
    <xdr:pic>
      <xdr:nvPicPr>
        <xdr:cNvPr id="553" name="Picture 552" descr="Insight Picture 552">
          <a:extLst>
            <a:ext uri="{FF2B5EF4-FFF2-40B4-BE49-F238E27FC236}">
              <a16:creationId xmlns:a16="http://schemas.microsoft.com/office/drawing/2014/main" id="{FF640BF8-9B9A-1D86-F9E0-851CD3D1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489347" y="310099472"/>
          <a:ext cx="17930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567928</xdr:colOff>
      <xdr:row>277</xdr:row>
      <xdr:rowOff>60722</xdr:rowOff>
    </xdr:from>
    <xdr:to>
      <xdr:col>0</xdr:col>
      <xdr:colOff>2197497</xdr:colOff>
      <xdr:row>277</xdr:row>
      <xdr:rowOff>828278</xdr:rowOff>
    </xdr:to>
    <xdr:pic>
      <xdr:nvPicPr>
        <xdr:cNvPr id="555" name="Picture 554" descr="Insight Picture 554">
          <a:extLst>
            <a:ext uri="{FF2B5EF4-FFF2-40B4-BE49-F238E27FC236}">
              <a16:creationId xmlns:a16="http://schemas.microsoft.com/office/drawing/2014/main" id="{039F96EB-DFCF-F88F-5D21-EBA0504A3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567928" y="311442497"/>
          <a:ext cx="1635919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675085</xdr:colOff>
      <xdr:row>278</xdr:row>
      <xdr:rowOff>60722</xdr:rowOff>
    </xdr:from>
    <xdr:to>
      <xdr:col>0</xdr:col>
      <xdr:colOff>2093516</xdr:colOff>
      <xdr:row>278</xdr:row>
      <xdr:rowOff>1285478</xdr:rowOff>
    </xdr:to>
    <xdr:pic>
      <xdr:nvPicPr>
        <xdr:cNvPr id="557" name="Picture 556" descr="Insight Picture 556">
          <a:extLst>
            <a:ext uri="{FF2B5EF4-FFF2-40B4-BE49-F238E27FC236}">
              <a16:creationId xmlns:a16="http://schemas.microsoft.com/office/drawing/2014/main" id="{B3FF49DC-C052-C69F-BF45-C747ACAE0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675085" y="312328322"/>
          <a:ext cx="14216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279</xdr:row>
      <xdr:rowOff>61913</xdr:rowOff>
    </xdr:from>
    <xdr:to>
      <xdr:col>0</xdr:col>
      <xdr:colOff>2103834</xdr:colOff>
      <xdr:row>279</xdr:row>
      <xdr:rowOff>1287463</xdr:rowOff>
    </xdr:to>
    <xdr:pic>
      <xdr:nvPicPr>
        <xdr:cNvPr id="559" name="Picture 558" descr="Insight Picture 558">
          <a:extLst>
            <a:ext uri="{FF2B5EF4-FFF2-40B4-BE49-F238E27FC236}">
              <a16:creationId xmlns:a16="http://schemas.microsoft.com/office/drawing/2014/main" id="{B7B321CA-2778-B947-F63B-E6DAB062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667940" y="313672538"/>
          <a:ext cx="1435894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721519</xdr:colOff>
      <xdr:row>280</xdr:row>
      <xdr:rowOff>60722</xdr:rowOff>
    </xdr:from>
    <xdr:to>
      <xdr:col>0</xdr:col>
      <xdr:colOff>2050257</xdr:colOff>
      <xdr:row>280</xdr:row>
      <xdr:rowOff>1285478</xdr:rowOff>
    </xdr:to>
    <xdr:pic>
      <xdr:nvPicPr>
        <xdr:cNvPr id="561" name="Picture 560" descr="Insight Picture 560">
          <a:extLst>
            <a:ext uri="{FF2B5EF4-FFF2-40B4-BE49-F238E27FC236}">
              <a16:creationId xmlns:a16="http://schemas.microsoft.com/office/drawing/2014/main" id="{3F7F9A4A-79A9-E39E-D145-89F1B4983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721519" y="315023897"/>
          <a:ext cx="13287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417909</xdr:colOff>
      <xdr:row>281</xdr:row>
      <xdr:rowOff>60722</xdr:rowOff>
    </xdr:from>
    <xdr:to>
      <xdr:col>0</xdr:col>
      <xdr:colOff>2353865</xdr:colOff>
      <xdr:row>281</xdr:row>
      <xdr:rowOff>999728</xdr:rowOff>
    </xdr:to>
    <xdr:pic>
      <xdr:nvPicPr>
        <xdr:cNvPr id="563" name="Picture 562" descr="Insight Picture 562">
          <a:extLst>
            <a:ext uri="{FF2B5EF4-FFF2-40B4-BE49-F238E27FC236}">
              <a16:creationId xmlns:a16="http://schemas.microsoft.com/office/drawing/2014/main" id="{4F50C204-1546-B668-0A69-3CC6B16F7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417909" y="316366922"/>
          <a:ext cx="1935956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282</xdr:row>
      <xdr:rowOff>63103</xdr:rowOff>
    </xdr:from>
    <xdr:to>
      <xdr:col>0</xdr:col>
      <xdr:colOff>2075657</xdr:colOff>
      <xdr:row>282</xdr:row>
      <xdr:rowOff>902097</xdr:rowOff>
    </xdr:to>
    <xdr:pic>
      <xdr:nvPicPr>
        <xdr:cNvPr id="565" name="Picture 564" descr="Insight Picture 564">
          <a:extLst>
            <a:ext uri="{FF2B5EF4-FFF2-40B4-BE49-F238E27FC236}">
              <a16:creationId xmlns:a16="http://schemas.microsoft.com/office/drawing/2014/main" id="{6859D32B-8526-A518-A21E-1CBC8C99C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92944" y="317426578"/>
          <a:ext cx="1385888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283</xdr:row>
      <xdr:rowOff>63103</xdr:rowOff>
    </xdr:from>
    <xdr:to>
      <xdr:col>0</xdr:col>
      <xdr:colOff>2075657</xdr:colOff>
      <xdr:row>283</xdr:row>
      <xdr:rowOff>902097</xdr:rowOff>
    </xdr:to>
    <xdr:pic>
      <xdr:nvPicPr>
        <xdr:cNvPr id="567" name="Picture 566" descr="Insight Picture 566">
          <a:extLst>
            <a:ext uri="{FF2B5EF4-FFF2-40B4-BE49-F238E27FC236}">
              <a16:creationId xmlns:a16="http://schemas.microsoft.com/office/drawing/2014/main" id="{14F215CA-5A1B-B8C9-EBFB-0F35DA84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692944" y="318388603"/>
          <a:ext cx="1385888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807244</xdr:colOff>
      <xdr:row>284</xdr:row>
      <xdr:rowOff>59531</xdr:rowOff>
    </xdr:from>
    <xdr:to>
      <xdr:col>0</xdr:col>
      <xdr:colOff>1961357</xdr:colOff>
      <xdr:row>284</xdr:row>
      <xdr:rowOff>873919</xdr:rowOff>
    </xdr:to>
    <xdr:pic>
      <xdr:nvPicPr>
        <xdr:cNvPr id="569" name="Picture 568" descr="Insight Picture 568">
          <a:extLst>
            <a:ext uri="{FF2B5EF4-FFF2-40B4-BE49-F238E27FC236}">
              <a16:creationId xmlns:a16="http://schemas.microsoft.com/office/drawing/2014/main" id="{5BECD7EC-D413-A102-1A76-729EAC93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807244" y="319347056"/>
          <a:ext cx="1157288" cy="814388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285</xdr:row>
      <xdr:rowOff>59531</xdr:rowOff>
    </xdr:from>
    <xdr:to>
      <xdr:col>0</xdr:col>
      <xdr:colOff>2036366</xdr:colOff>
      <xdr:row>285</xdr:row>
      <xdr:rowOff>645319</xdr:rowOff>
    </xdr:to>
    <xdr:pic>
      <xdr:nvPicPr>
        <xdr:cNvPr id="571" name="Picture 570" descr="Insight Picture 570">
          <a:extLst>
            <a:ext uri="{FF2B5EF4-FFF2-40B4-BE49-F238E27FC236}">
              <a16:creationId xmlns:a16="http://schemas.microsoft.com/office/drawing/2014/main" id="{54A734FA-E59A-F350-F39C-0EF270E0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732235" y="320280506"/>
          <a:ext cx="1307306" cy="585788"/>
        </a:xfrm>
        <a:prstGeom prst="rect">
          <a:avLst/>
        </a:prstGeom>
      </xdr:spPr>
    </xdr:pic>
    <xdr:clientData/>
  </xdr:twoCellAnchor>
  <xdr:twoCellAnchor editAs="oneCell">
    <xdr:from>
      <xdr:col>0</xdr:col>
      <xdr:colOff>560784</xdr:colOff>
      <xdr:row>286</xdr:row>
      <xdr:rowOff>60722</xdr:rowOff>
    </xdr:from>
    <xdr:to>
      <xdr:col>0</xdr:col>
      <xdr:colOff>2207815</xdr:colOff>
      <xdr:row>286</xdr:row>
      <xdr:rowOff>1285478</xdr:rowOff>
    </xdr:to>
    <xdr:pic>
      <xdr:nvPicPr>
        <xdr:cNvPr id="573" name="Picture 572" descr="Insight Picture 572">
          <a:extLst>
            <a:ext uri="{FF2B5EF4-FFF2-40B4-BE49-F238E27FC236}">
              <a16:creationId xmlns:a16="http://schemas.microsoft.com/office/drawing/2014/main" id="{68BF4B81-ED7B-3C59-A89A-3E081AE3E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560784" y="320986547"/>
          <a:ext cx="16502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287</xdr:row>
      <xdr:rowOff>63103</xdr:rowOff>
    </xdr:from>
    <xdr:to>
      <xdr:col>0</xdr:col>
      <xdr:colOff>2088753</xdr:colOff>
      <xdr:row>287</xdr:row>
      <xdr:rowOff>844947</xdr:rowOff>
    </xdr:to>
    <xdr:pic>
      <xdr:nvPicPr>
        <xdr:cNvPr id="575" name="Picture 574" descr="Insight Picture 574">
          <a:extLst>
            <a:ext uri="{FF2B5EF4-FFF2-40B4-BE49-F238E27FC236}">
              <a16:creationId xmlns:a16="http://schemas.microsoft.com/office/drawing/2014/main" id="{BA66A510-F09B-CBEF-8BFA-8F6CC7F8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689372" y="322331953"/>
          <a:ext cx="139303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957263</xdr:colOff>
      <xdr:row>288</xdr:row>
      <xdr:rowOff>63103</xdr:rowOff>
    </xdr:from>
    <xdr:to>
      <xdr:col>0</xdr:col>
      <xdr:colOff>1820863</xdr:colOff>
      <xdr:row>288</xdr:row>
      <xdr:rowOff>1152922</xdr:rowOff>
    </xdr:to>
    <xdr:pic>
      <xdr:nvPicPr>
        <xdr:cNvPr id="577" name="Picture 576" descr="Insight Picture 576">
          <a:extLst>
            <a:ext uri="{FF2B5EF4-FFF2-40B4-BE49-F238E27FC236}">
              <a16:creationId xmlns:a16="http://schemas.microsoft.com/office/drawing/2014/main" id="{E9202745-FA35-F255-C6E4-96B48687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957263" y="323236828"/>
          <a:ext cx="857250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850106</xdr:colOff>
      <xdr:row>289</xdr:row>
      <xdr:rowOff>60722</xdr:rowOff>
    </xdr:from>
    <xdr:to>
      <xdr:col>0</xdr:col>
      <xdr:colOff>1924844</xdr:colOff>
      <xdr:row>289</xdr:row>
      <xdr:rowOff>1285478</xdr:rowOff>
    </xdr:to>
    <xdr:pic>
      <xdr:nvPicPr>
        <xdr:cNvPr id="579" name="Picture 578" descr="Insight Picture 578">
          <a:extLst>
            <a:ext uri="{FF2B5EF4-FFF2-40B4-BE49-F238E27FC236}">
              <a16:creationId xmlns:a16="http://schemas.microsoft.com/office/drawing/2014/main" id="{766A3010-EA8D-7721-3A4D-5E63B4A7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50106" y="324453647"/>
          <a:ext cx="10715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607219</xdr:colOff>
      <xdr:row>290</xdr:row>
      <xdr:rowOff>60722</xdr:rowOff>
    </xdr:from>
    <xdr:to>
      <xdr:col>0</xdr:col>
      <xdr:colOff>2164557</xdr:colOff>
      <xdr:row>290</xdr:row>
      <xdr:rowOff>1285478</xdr:rowOff>
    </xdr:to>
    <xdr:pic>
      <xdr:nvPicPr>
        <xdr:cNvPr id="581" name="Picture 580" descr="Insight Picture 580">
          <a:extLst>
            <a:ext uri="{FF2B5EF4-FFF2-40B4-BE49-F238E27FC236}">
              <a16:creationId xmlns:a16="http://schemas.microsoft.com/office/drawing/2014/main" id="{01327490-3AA5-49EE-3B09-5A0A1B297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607219" y="325796672"/>
          <a:ext cx="15573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291</xdr:row>
      <xdr:rowOff>60722</xdr:rowOff>
    </xdr:from>
    <xdr:to>
      <xdr:col>0</xdr:col>
      <xdr:colOff>2143125</xdr:colOff>
      <xdr:row>291</xdr:row>
      <xdr:rowOff>1285478</xdr:rowOff>
    </xdr:to>
    <xdr:pic>
      <xdr:nvPicPr>
        <xdr:cNvPr id="583" name="Picture 582" descr="Insight Picture 582">
          <a:extLst>
            <a:ext uri="{FF2B5EF4-FFF2-40B4-BE49-F238E27FC236}">
              <a16:creationId xmlns:a16="http://schemas.microsoft.com/office/drawing/2014/main" id="{43F0E1C3-72CF-2715-0042-30640BAA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628650" y="327139697"/>
          <a:ext cx="15144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892969</xdr:colOff>
      <xdr:row>292</xdr:row>
      <xdr:rowOff>60722</xdr:rowOff>
    </xdr:from>
    <xdr:to>
      <xdr:col>0</xdr:col>
      <xdr:colOff>1878807</xdr:colOff>
      <xdr:row>292</xdr:row>
      <xdr:rowOff>1285478</xdr:rowOff>
    </xdr:to>
    <xdr:pic>
      <xdr:nvPicPr>
        <xdr:cNvPr id="585" name="Picture 584" descr="Insight Picture 584">
          <a:extLst>
            <a:ext uri="{FF2B5EF4-FFF2-40B4-BE49-F238E27FC236}">
              <a16:creationId xmlns:a16="http://schemas.microsoft.com/office/drawing/2014/main" id="{094B1D52-2A93-A4CB-27FE-06474D7A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892969" y="328482722"/>
          <a:ext cx="9858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293</xdr:row>
      <xdr:rowOff>60722</xdr:rowOff>
    </xdr:from>
    <xdr:to>
      <xdr:col>0</xdr:col>
      <xdr:colOff>2161778</xdr:colOff>
      <xdr:row>293</xdr:row>
      <xdr:rowOff>999728</xdr:rowOff>
    </xdr:to>
    <xdr:pic>
      <xdr:nvPicPr>
        <xdr:cNvPr id="587" name="Picture 586" descr="Insight Picture 586">
          <a:extLst>
            <a:ext uri="{FF2B5EF4-FFF2-40B4-BE49-F238E27FC236}">
              <a16:creationId xmlns:a16="http://schemas.microsoft.com/office/drawing/2014/main" id="{ED9E6C1C-4E02-D630-C311-232FD668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603647" y="329825747"/>
          <a:ext cx="1564481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294</xdr:row>
      <xdr:rowOff>60722</xdr:rowOff>
    </xdr:from>
    <xdr:to>
      <xdr:col>1</xdr:col>
      <xdr:colOff>76200</xdr:colOff>
      <xdr:row>294</xdr:row>
      <xdr:rowOff>1171178</xdr:rowOff>
    </xdr:to>
    <xdr:pic>
      <xdr:nvPicPr>
        <xdr:cNvPr id="589" name="Picture 588" descr="Insight Picture 588">
          <a:extLst>
            <a:ext uri="{FF2B5EF4-FFF2-40B4-BE49-F238E27FC236}">
              <a16:creationId xmlns:a16="http://schemas.microsoft.com/office/drawing/2014/main" id="{0B6E2BC4-31B2-3082-5776-50AC8E2CA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285750" y="330883022"/>
          <a:ext cx="2200275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817960</xdr:colOff>
      <xdr:row>295</xdr:row>
      <xdr:rowOff>63103</xdr:rowOff>
    </xdr:from>
    <xdr:to>
      <xdr:col>0</xdr:col>
      <xdr:colOff>1953816</xdr:colOff>
      <xdr:row>295</xdr:row>
      <xdr:rowOff>959247</xdr:rowOff>
    </xdr:to>
    <xdr:pic>
      <xdr:nvPicPr>
        <xdr:cNvPr id="591" name="Picture 590" descr="Insight Picture 590">
          <a:extLst>
            <a:ext uri="{FF2B5EF4-FFF2-40B4-BE49-F238E27FC236}">
              <a16:creationId xmlns:a16="http://schemas.microsoft.com/office/drawing/2014/main" id="{A5974C5F-F6FE-426D-7D94-73249934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817960" y="332114128"/>
          <a:ext cx="1135856" cy="892969"/>
        </a:xfrm>
        <a:prstGeom prst="rect">
          <a:avLst/>
        </a:prstGeom>
      </xdr:spPr>
    </xdr:pic>
    <xdr:clientData/>
  </xdr:twoCellAnchor>
  <xdr:twoCellAnchor editAs="oneCell">
    <xdr:from>
      <xdr:col>0</xdr:col>
      <xdr:colOff>632222</xdr:colOff>
      <xdr:row>296</xdr:row>
      <xdr:rowOff>60722</xdr:rowOff>
    </xdr:from>
    <xdr:to>
      <xdr:col>0</xdr:col>
      <xdr:colOff>2145903</xdr:colOff>
      <xdr:row>296</xdr:row>
      <xdr:rowOff>1193403</xdr:rowOff>
    </xdr:to>
    <xdr:pic>
      <xdr:nvPicPr>
        <xdr:cNvPr id="593" name="Picture 592" descr="Insight Picture 592">
          <a:extLst>
            <a:ext uri="{FF2B5EF4-FFF2-40B4-BE49-F238E27FC236}">
              <a16:creationId xmlns:a16="http://schemas.microsoft.com/office/drawing/2014/main" id="{588B72BE-9A13-CB45-7607-BF564B3CD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632222" y="333130922"/>
          <a:ext cx="1507331" cy="1135856"/>
        </a:xfrm>
        <a:prstGeom prst="rect">
          <a:avLst/>
        </a:prstGeom>
      </xdr:spPr>
    </xdr:pic>
    <xdr:clientData/>
  </xdr:twoCellAnchor>
  <xdr:twoCellAnchor editAs="oneCell">
    <xdr:from>
      <xdr:col>0</xdr:col>
      <xdr:colOff>503634</xdr:colOff>
      <xdr:row>297</xdr:row>
      <xdr:rowOff>60722</xdr:rowOff>
    </xdr:from>
    <xdr:to>
      <xdr:col>0</xdr:col>
      <xdr:colOff>2264965</xdr:colOff>
      <xdr:row>297</xdr:row>
      <xdr:rowOff>1285478</xdr:rowOff>
    </xdr:to>
    <xdr:pic>
      <xdr:nvPicPr>
        <xdr:cNvPr id="595" name="Picture 594" descr="Insight Picture 594">
          <a:extLst>
            <a:ext uri="{FF2B5EF4-FFF2-40B4-BE49-F238E27FC236}">
              <a16:creationId xmlns:a16="http://schemas.microsoft.com/office/drawing/2014/main" id="{D1B3AD12-5381-8140-8EBF-AACB0C4CF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503634" y="334388222"/>
          <a:ext cx="17645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585788</xdr:colOff>
      <xdr:row>298</xdr:row>
      <xdr:rowOff>63103</xdr:rowOff>
    </xdr:from>
    <xdr:to>
      <xdr:col>0</xdr:col>
      <xdr:colOff>2179638</xdr:colOff>
      <xdr:row>298</xdr:row>
      <xdr:rowOff>1244997</xdr:rowOff>
    </xdr:to>
    <xdr:pic>
      <xdr:nvPicPr>
        <xdr:cNvPr id="597" name="Picture 596" descr="Insight Picture 596">
          <a:extLst>
            <a:ext uri="{FF2B5EF4-FFF2-40B4-BE49-F238E27FC236}">
              <a16:creationId xmlns:a16="http://schemas.microsoft.com/office/drawing/2014/main" id="{C90E40A0-DC8B-A5AC-0E97-B929775E9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585788" y="335733628"/>
          <a:ext cx="160020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746522</xdr:colOff>
      <xdr:row>299</xdr:row>
      <xdr:rowOff>60722</xdr:rowOff>
    </xdr:from>
    <xdr:to>
      <xdr:col>0</xdr:col>
      <xdr:colOff>2031603</xdr:colOff>
      <xdr:row>299</xdr:row>
      <xdr:rowOff>1285478</xdr:rowOff>
    </xdr:to>
    <xdr:pic>
      <xdr:nvPicPr>
        <xdr:cNvPr id="599" name="Picture 598" descr="Insight Picture 598">
          <a:extLst>
            <a:ext uri="{FF2B5EF4-FFF2-40B4-BE49-F238E27FC236}">
              <a16:creationId xmlns:a16="http://schemas.microsoft.com/office/drawing/2014/main" id="{2EB23A22-9733-E2AB-87DA-2F1A5497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746522" y="337036172"/>
          <a:ext cx="12787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282178</xdr:colOff>
      <xdr:row>300</xdr:row>
      <xdr:rowOff>60722</xdr:rowOff>
    </xdr:from>
    <xdr:to>
      <xdr:col>1</xdr:col>
      <xdr:colOff>73422</xdr:colOff>
      <xdr:row>300</xdr:row>
      <xdr:rowOff>1285478</xdr:rowOff>
    </xdr:to>
    <xdr:pic>
      <xdr:nvPicPr>
        <xdr:cNvPr id="601" name="Picture 600" descr="Insight Picture 600">
          <a:extLst>
            <a:ext uri="{FF2B5EF4-FFF2-40B4-BE49-F238E27FC236}">
              <a16:creationId xmlns:a16="http://schemas.microsoft.com/office/drawing/2014/main" id="{EC5744ED-A19C-6A11-5A8F-7F6361FC3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82178" y="338379197"/>
          <a:ext cx="22074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442913</xdr:colOff>
      <xdr:row>301</xdr:row>
      <xdr:rowOff>60722</xdr:rowOff>
    </xdr:from>
    <xdr:to>
      <xdr:col>0</xdr:col>
      <xdr:colOff>2335213</xdr:colOff>
      <xdr:row>301</xdr:row>
      <xdr:rowOff>1285478</xdr:rowOff>
    </xdr:to>
    <xdr:pic>
      <xdr:nvPicPr>
        <xdr:cNvPr id="603" name="Picture 602" descr="Insight Picture 602">
          <a:extLst>
            <a:ext uri="{FF2B5EF4-FFF2-40B4-BE49-F238E27FC236}">
              <a16:creationId xmlns:a16="http://schemas.microsoft.com/office/drawing/2014/main" id="{12E70278-4C46-A0CB-6084-1CA8BD83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442913" y="339722222"/>
          <a:ext cx="18859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853678</xdr:colOff>
      <xdr:row>302</xdr:row>
      <xdr:rowOff>60722</xdr:rowOff>
    </xdr:from>
    <xdr:to>
      <xdr:col>0</xdr:col>
      <xdr:colOff>1911747</xdr:colOff>
      <xdr:row>302</xdr:row>
      <xdr:rowOff>1285478</xdr:rowOff>
    </xdr:to>
    <xdr:pic>
      <xdr:nvPicPr>
        <xdr:cNvPr id="605" name="Picture 604" descr="Insight Picture 604">
          <a:extLst>
            <a:ext uri="{FF2B5EF4-FFF2-40B4-BE49-F238E27FC236}">
              <a16:creationId xmlns:a16="http://schemas.microsoft.com/office/drawing/2014/main" id="{A7457FA5-A987-C0E2-BFB5-7A2DFBB07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853678" y="341065247"/>
          <a:ext cx="10644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517922</xdr:colOff>
      <xdr:row>303</xdr:row>
      <xdr:rowOff>60722</xdr:rowOff>
    </xdr:from>
    <xdr:to>
      <xdr:col>0</xdr:col>
      <xdr:colOff>2260203</xdr:colOff>
      <xdr:row>303</xdr:row>
      <xdr:rowOff>1056878</xdr:rowOff>
    </xdr:to>
    <xdr:pic>
      <xdr:nvPicPr>
        <xdr:cNvPr id="607" name="Picture 606" descr="Insight Picture 606">
          <a:extLst>
            <a:ext uri="{FF2B5EF4-FFF2-40B4-BE49-F238E27FC236}">
              <a16:creationId xmlns:a16="http://schemas.microsoft.com/office/drawing/2014/main" id="{8F7CB8D8-4C2C-9154-2E6F-0DD1F3C21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517922" y="342408272"/>
          <a:ext cx="1735931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304</xdr:row>
      <xdr:rowOff>60722</xdr:rowOff>
    </xdr:from>
    <xdr:to>
      <xdr:col>1</xdr:col>
      <xdr:colOff>190500</xdr:colOff>
      <xdr:row>304</xdr:row>
      <xdr:rowOff>1136253</xdr:rowOff>
    </xdr:to>
    <xdr:pic>
      <xdr:nvPicPr>
        <xdr:cNvPr id="609" name="Picture 608" descr="Insight Picture 608">
          <a:extLst>
            <a:ext uri="{FF2B5EF4-FFF2-40B4-BE49-F238E27FC236}">
              <a16:creationId xmlns:a16="http://schemas.microsoft.com/office/drawing/2014/main" id="{88525979-5A9F-3E04-DBA5-4D53945B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71450" y="343522697"/>
          <a:ext cx="2428875" cy="1078706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305</xdr:row>
      <xdr:rowOff>60722</xdr:rowOff>
    </xdr:from>
    <xdr:to>
      <xdr:col>0</xdr:col>
      <xdr:colOff>1882775</xdr:colOff>
      <xdr:row>305</xdr:row>
      <xdr:rowOff>1285478</xdr:rowOff>
    </xdr:to>
    <xdr:pic>
      <xdr:nvPicPr>
        <xdr:cNvPr id="611" name="Picture 610" descr="Insight Picture 610">
          <a:extLst>
            <a:ext uri="{FF2B5EF4-FFF2-40B4-BE49-F238E27FC236}">
              <a16:creationId xmlns:a16="http://schemas.microsoft.com/office/drawing/2014/main" id="{12A191D5-D716-7C0A-D732-2507F03AD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885825" y="344722847"/>
          <a:ext cx="10001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921544</xdr:colOff>
      <xdr:row>306</xdr:row>
      <xdr:rowOff>60722</xdr:rowOff>
    </xdr:from>
    <xdr:to>
      <xdr:col>0</xdr:col>
      <xdr:colOff>1847057</xdr:colOff>
      <xdr:row>306</xdr:row>
      <xdr:rowOff>1285478</xdr:rowOff>
    </xdr:to>
    <xdr:pic>
      <xdr:nvPicPr>
        <xdr:cNvPr id="613" name="Picture 612" descr="Insight Picture 612">
          <a:extLst>
            <a:ext uri="{FF2B5EF4-FFF2-40B4-BE49-F238E27FC236}">
              <a16:creationId xmlns:a16="http://schemas.microsoft.com/office/drawing/2014/main" id="{7499958B-A7A1-D4B1-7ADC-549C0D584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921544" y="346065872"/>
          <a:ext cx="92868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807244</xdr:colOff>
      <xdr:row>307</xdr:row>
      <xdr:rowOff>60722</xdr:rowOff>
    </xdr:from>
    <xdr:to>
      <xdr:col>0</xdr:col>
      <xdr:colOff>1961357</xdr:colOff>
      <xdr:row>307</xdr:row>
      <xdr:rowOff>1285478</xdr:rowOff>
    </xdr:to>
    <xdr:pic>
      <xdr:nvPicPr>
        <xdr:cNvPr id="615" name="Picture 614" descr="Insight Picture 614">
          <a:extLst>
            <a:ext uri="{FF2B5EF4-FFF2-40B4-BE49-F238E27FC236}">
              <a16:creationId xmlns:a16="http://schemas.microsoft.com/office/drawing/2014/main" id="{37ABAC64-363D-F20B-7C5E-1853333C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807244" y="347408897"/>
          <a:ext cx="115728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717947</xdr:colOff>
      <xdr:row>308</xdr:row>
      <xdr:rowOff>60722</xdr:rowOff>
    </xdr:from>
    <xdr:to>
      <xdr:col>0</xdr:col>
      <xdr:colOff>2047478</xdr:colOff>
      <xdr:row>308</xdr:row>
      <xdr:rowOff>1285478</xdr:rowOff>
    </xdr:to>
    <xdr:pic>
      <xdr:nvPicPr>
        <xdr:cNvPr id="617" name="Picture 616" descr="Insight Picture 616">
          <a:extLst>
            <a:ext uri="{FF2B5EF4-FFF2-40B4-BE49-F238E27FC236}">
              <a16:creationId xmlns:a16="http://schemas.microsoft.com/office/drawing/2014/main" id="{273B3F09-369E-53E7-1A56-2F86DFAE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717947" y="348751922"/>
          <a:ext cx="13358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792956</xdr:colOff>
      <xdr:row>309</xdr:row>
      <xdr:rowOff>60722</xdr:rowOff>
    </xdr:from>
    <xdr:to>
      <xdr:col>0</xdr:col>
      <xdr:colOff>1981994</xdr:colOff>
      <xdr:row>309</xdr:row>
      <xdr:rowOff>1285478</xdr:rowOff>
    </xdr:to>
    <xdr:pic>
      <xdr:nvPicPr>
        <xdr:cNvPr id="619" name="Picture 618" descr="Insight Picture 618">
          <a:extLst>
            <a:ext uri="{FF2B5EF4-FFF2-40B4-BE49-F238E27FC236}">
              <a16:creationId xmlns:a16="http://schemas.microsoft.com/office/drawing/2014/main" id="{AE3DC0D4-753A-EF29-391B-0D10C664C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792956" y="350094947"/>
          <a:ext cx="11858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310</xdr:row>
      <xdr:rowOff>60722</xdr:rowOff>
    </xdr:from>
    <xdr:to>
      <xdr:col>0</xdr:col>
      <xdr:colOff>2257425</xdr:colOff>
      <xdr:row>310</xdr:row>
      <xdr:rowOff>1193403</xdr:rowOff>
    </xdr:to>
    <xdr:pic>
      <xdr:nvPicPr>
        <xdr:cNvPr id="621" name="Picture 620" descr="Insight Picture 620">
          <a:extLst>
            <a:ext uri="{FF2B5EF4-FFF2-40B4-BE49-F238E27FC236}">
              <a16:creationId xmlns:a16="http://schemas.microsoft.com/office/drawing/2014/main" id="{079C90D6-A622-0819-D72E-7197D0D4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514350" y="351437972"/>
          <a:ext cx="1743075" cy="1135856"/>
        </a:xfrm>
        <a:prstGeom prst="rect">
          <a:avLst/>
        </a:prstGeom>
      </xdr:spPr>
    </xdr:pic>
    <xdr:clientData/>
  </xdr:twoCellAnchor>
  <xdr:twoCellAnchor editAs="oneCell">
    <xdr:from>
      <xdr:col>0</xdr:col>
      <xdr:colOff>796528</xdr:colOff>
      <xdr:row>311</xdr:row>
      <xdr:rowOff>60722</xdr:rowOff>
    </xdr:from>
    <xdr:to>
      <xdr:col>0</xdr:col>
      <xdr:colOff>1968897</xdr:colOff>
      <xdr:row>311</xdr:row>
      <xdr:rowOff>942578</xdr:rowOff>
    </xdr:to>
    <xdr:pic>
      <xdr:nvPicPr>
        <xdr:cNvPr id="623" name="Picture 622" descr="Insight Picture 622">
          <a:extLst>
            <a:ext uri="{FF2B5EF4-FFF2-40B4-BE49-F238E27FC236}">
              <a16:creationId xmlns:a16="http://schemas.microsoft.com/office/drawing/2014/main" id="{F52E2F8C-01EB-8207-1183-30F2D434D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796528" y="352695272"/>
          <a:ext cx="1178719" cy="878681"/>
        </a:xfrm>
        <a:prstGeom prst="rect">
          <a:avLst/>
        </a:prstGeom>
      </xdr:spPr>
    </xdr:pic>
    <xdr:clientData/>
  </xdr:twoCellAnchor>
  <xdr:twoCellAnchor editAs="oneCell">
    <xdr:from>
      <xdr:col>0</xdr:col>
      <xdr:colOff>842963</xdr:colOff>
      <xdr:row>312</xdr:row>
      <xdr:rowOff>63103</xdr:rowOff>
    </xdr:from>
    <xdr:to>
      <xdr:col>0</xdr:col>
      <xdr:colOff>1935163</xdr:colOff>
      <xdr:row>312</xdr:row>
      <xdr:rowOff>902097</xdr:rowOff>
    </xdr:to>
    <xdr:pic>
      <xdr:nvPicPr>
        <xdr:cNvPr id="625" name="Picture 624" descr="Insight Picture 624">
          <a:extLst>
            <a:ext uri="{FF2B5EF4-FFF2-40B4-BE49-F238E27FC236}">
              <a16:creationId xmlns:a16="http://schemas.microsoft.com/office/drawing/2014/main" id="{1E8B54E2-1C30-DEBD-594F-465CE43A4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842963" y="353697778"/>
          <a:ext cx="1085850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907256</xdr:colOff>
      <xdr:row>313</xdr:row>
      <xdr:rowOff>59531</xdr:rowOff>
    </xdr:from>
    <xdr:to>
      <xdr:col>0</xdr:col>
      <xdr:colOff>1867694</xdr:colOff>
      <xdr:row>313</xdr:row>
      <xdr:rowOff>1045369</xdr:rowOff>
    </xdr:to>
    <xdr:pic>
      <xdr:nvPicPr>
        <xdr:cNvPr id="627" name="Picture 626" descr="Insight Picture 626">
          <a:extLst>
            <a:ext uri="{FF2B5EF4-FFF2-40B4-BE49-F238E27FC236}">
              <a16:creationId xmlns:a16="http://schemas.microsoft.com/office/drawing/2014/main" id="{6EDAB4C4-C4C8-4B1C-5393-B93CC230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907256" y="354656231"/>
          <a:ext cx="957263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375047</xdr:colOff>
      <xdr:row>314</xdr:row>
      <xdr:rowOff>60722</xdr:rowOff>
    </xdr:from>
    <xdr:to>
      <xdr:col>0</xdr:col>
      <xdr:colOff>2390378</xdr:colOff>
      <xdr:row>314</xdr:row>
      <xdr:rowOff>1285478</xdr:rowOff>
    </xdr:to>
    <xdr:pic>
      <xdr:nvPicPr>
        <xdr:cNvPr id="629" name="Picture 628" descr="Insight Picture 628">
          <a:extLst>
            <a:ext uri="{FF2B5EF4-FFF2-40B4-BE49-F238E27FC236}">
              <a16:creationId xmlns:a16="http://schemas.microsoft.com/office/drawing/2014/main" id="{60B6A8FF-571A-A3C9-B75F-3835766CB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375047" y="355762322"/>
          <a:ext cx="20216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315</xdr:row>
      <xdr:rowOff>60722</xdr:rowOff>
    </xdr:from>
    <xdr:to>
      <xdr:col>0</xdr:col>
      <xdr:colOff>2054225</xdr:colOff>
      <xdr:row>315</xdr:row>
      <xdr:rowOff>1285478</xdr:rowOff>
    </xdr:to>
    <xdr:pic>
      <xdr:nvPicPr>
        <xdr:cNvPr id="631" name="Picture 630" descr="Insight Picture 630">
          <a:extLst>
            <a:ext uri="{FF2B5EF4-FFF2-40B4-BE49-F238E27FC236}">
              <a16:creationId xmlns:a16="http://schemas.microsoft.com/office/drawing/2014/main" id="{B420B3C1-C3DD-1E9A-C710-DA8C9E7B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714375" y="357105347"/>
          <a:ext cx="13430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346472</xdr:colOff>
      <xdr:row>316</xdr:row>
      <xdr:rowOff>60722</xdr:rowOff>
    </xdr:from>
    <xdr:to>
      <xdr:col>1</xdr:col>
      <xdr:colOff>21828</xdr:colOff>
      <xdr:row>316</xdr:row>
      <xdr:rowOff>1285478</xdr:rowOff>
    </xdr:to>
    <xdr:pic>
      <xdr:nvPicPr>
        <xdr:cNvPr id="633" name="Picture 632" descr="Insight Picture 632">
          <a:extLst>
            <a:ext uri="{FF2B5EF4-FFF2-40B4-BE49-F238E27FC236}">
              <a16:creationId xmlns:a16="http://schemas.microsoft.com/office/drawing/2014/main" id="{2B4DEB77-E130-D02F-0B50-CC8D81ED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346472" y="358448372"/>
          <a:ext cx="20788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567928</xdr:colOff>
      <xdr:row>317</xdr:row>
      <xdr:rowOff>59531</xdr:rowOff>
    </xdr:from>
    <xdr:to>
      <xdr:col>0</xdr:col>
      <xdr:colOff>2197497</xdr:colOff>
      <xdr:row>317</xdr:row>
      <xdr:rowOff>1273969</xdr:rowOff>
    </xdr:to>
    <xdr:pic>
      <xdr:nvPicPr>
        <xdr:cNvPr id="635" name="Picture 634" descr="Insight Picture 634">
          <a:extLst>
            <a:ext uri="{FF2B5EF4-FFF2-40B4-BE49-F238E27FC236}">
              <a16:creationId xmlns:a16="http://schemas.microsoft.com/office/drawing/2014/main" id="{476DB8A7-3DEC-0FF2-877C-4D73EA89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567928" y="359790206"/>
          <a:ext cx="163591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318</xdr:row>
      <xdr:rowOff>63103</xdr:rowOff>
    </xdr:from>
    <xdr:to>
      <xdr:col>0</xdr:col>
      <xdr:colOff>2161778</xdr:colOff>
      <xdr:row>318</xdr:row>
      <xdr:rowOff>844947</xdr:rowOff>
    </xdr:to>
    <xdr:pic>
      <xdr:nvPicPr>
        <xdr:cNvPr id="637" name="Picture 636" descr="Insight Picture 636">
          <a:extLst>
            <a:ext uri="{FF2B5EF4-FFF2-40B4-BE49-F238E27FC236}">
              <a16:creationId xmlns:a16="http://schemas.microsoft.com/office/drawing/2014/main" id="{14C09B96-5D4B-74D7-EB9C-1A3C3386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603647" y="361127278"/>
          <a:ext cx="156448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607219</xdr:colOff>
      <xdr:row>319</xdr:row>
      <xdr:rowOff>63103</xdr:rowOff>
    </xdr:from>
    <xdr:to>
      <xdr:col>0</xdr:col>
      <xdr:colOff>2164557</xdr:colOff>
      <xdr:row>319</xdr:row>
      <xdr:rowOff>902097</xdr:rowOff>
    </xdr:to>
    <xdr:pic>
      <xdr:nvPicPr>
        <xdr:cNvPr id="639" name="Picture 638" descr="Insight Picture 638">
          <a:extLst>
            <a:ext uri="{FF2B5EF4-FFF2-40B4-BE49-F238E27FC236}">
              <a16:creationId xmlns:a16="http://schemas.microsoft.com/office/drawing/2014/main" id="{D337886B-E209-75E2-EB9E-1CE0FA8A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607219" y="362032153"/>
          <a:ext cx="1557338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621506</xdr:colOff>
      <xdr:row>320</xdr:row>
      <xdr:rowOff>60722</xdr:rowOff>
    </xdr:from>
    <xdr:to>
      <xdr:col>0</xdr:col>
      <xdr:colOff>2153444</xdr:colOff>
      <xdr:row>320</xdr:row>
      <xdr:rowOff>1285478</xdr:rowOff>
    </xdr:to>
    <xdr:pic>
      <xdr:nvPicPr>
        <xdr:cNvPr id="641" name="Picture 640" descr="Insight Picture 640">
          <a:extLst>
            <a:ext uri="{FF2B5EF4-FFF2-40B4-BE49-F238E27FC236}">
              <a16:creationId xmlns:a16="http://schemas.microsoft.com/office/drawing/2014/main" id="{8F16424B-84A3-B47E-A487-80CDB361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621506" y="362991797"/>
          <a:ext cx="15287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700088</xdr:colOff>
      <xdr:row>321</xdr:row>
      <xdr:rowOff>63103</xdr:rowOff>
    </xdr:from>
    <xdr:to>
      <xdr:col>0</xdr:col>
      <xdr:colOff>2065338</xdr:colOff>
      <xdr:row>321</xdr:row>
      <xdr:rowOff>752872</xdr:rowOff>
    </xdr:to>
    <xdr:pic>
      <xdr:nvPicPr>
        <xdr:cNvPr id="643" name="Picture 642" descr="Insight Picture 642">
          <a:extLst>
            <a:ext uri="{FF2B5EF4-FFF2-40B4-BE49-F238E27FC236}">
              <a16:creationId xmlns:a16="http://schemas.microsoft.com/office/drawing/2014/main" id="{B5AC236F-1C44-01E8-B5DB-41E8BAAC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700088" y="364337203"/>
          <a:ext cx="1371600" cy="692944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322</xdr:row>
      <xdr:rowOff>63103</xdr:rowOff>
    </xdr:from>
    <xdr:to>
      <xdr:col>0</xdr:col>
      <xdr:colOff>2088753</xdr:colOff>
      <xdr:row>322</xdr:row>
      <xdr:rowOff>844947</xdr:rowOff>
    </xdr:to>
    <xdr:pic>
      <xdr:nvPicPr>
        <xdr:cNvPr id="645" name="Picture 644" descr="Insight Picture 644">
          <a:extLst>
            <a:ext uri="{FF2B5EF4-FFF2-40B4-BE49-F238E27FC236}">
              <a16:creationId xmlns:a16="http://schemas.microsoft.com/office/drawing/2014/main" id="{21F703AC-E734-8E7B-A812-5C1C0FF5D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689372" y="365156353"/>
          <a:ext cx="139303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323</xdr:row>
      <xdr:rowOff>63103</xdr:rowOff>
    </xdr:from>
    <xdr:to>
      <xdr:col>0</xdr:col>
      <xdr:colOff>2088753</xdr:colOff>
      <xdr:row>323</xdr:row>
      <xdr:rowOff>902097</xdr:rowOff>
    </xdr:to>
    <xdr:pic>
      <xdr:nvPicPr>
        <xdr:cNvPr id="647" name="Picture 646" descr="Insight Picture 646">
          <a:extLst>
            <a:ext uri="{FF2B5EF4-FFF2-40B4-BE49-F238E27FC236}">
              <a16:creationId xmlns:a16="http://schemas.microsoft.com/office/drawing/2014/main" id="{ED71E4DF-83CB-86DB-E513-8B2C6A029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689372" y="366061228"/>
          <a:ext cx="1393031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324</xdr:row>
      <xdr:rowOff>63103</xdr:rowOff>
    </xdr:from>
    <xdr:to>
      <xdr:col>0</xdr:col>
      <xdr:colOff>2103834</xdr:colOff>
      <xdr:row>324</xdr:row>
      <xdr:rowOff>1016397</xdr:rowOff>
    </xdr:to>
    <xdr:pic>
      <xdr:nvPicPr>
        <xdr:cNvPr id="649" name="Picture 648" descr="Insight Picture 648">
          <a:extLst>
            <a:ext uri="{FF2B5EF4-FFF2-40B4-BE49-F238E27FC236}">
              <a16:creationId xmlns:a16="http://schemas.microsoft.com/office/drawing/2014/main" id="{5691CECB-8E4A-776C-26EC-45950171E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667940" y="367023253"/>
          <a:ext cx="1435894" cy="950119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325</xdr:row>
      <xdr:rowOff>60722</xdr:rowOff>
    </xdr:from>
    <xdr:to>
      <xdr:col>0</xdr:col>
      <xdr:colOff>2125266</xdr:colOff>
      <xdr:row>325</xdr:row>
      <xdr:rowOff>1228328</xdr:rowOff>
    </xdr:to>
    <xdr:pic>
      <xdr:nvPicPr>
        <xdr:cNvPr id="651" name="Picture 650" descr="Insight Picture 650">
          <a:extLst>
            <a:ext uri="{FF2B5EF4-FFF2-40B4-BE49-F238E27FC236}">
              <a16:creationId xmlns:a16="http://schemas.microsoft.com/office/drawing/2014/main" id="{9F2545AC-684B-1B0E-2708-4D2E2DA9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646510" y="368097197"/>
          <a:ext cx="1478756" cy="116443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326</xdr:row>
      <xdr:rowOff>61913</xdr:rowOff>
    </xdr:from>
    <xdr:to>
      <xdr:col>0</xdr:col>
      <xdr:colOff>2339975</xdr:colOff>
      <xdr:row>326</xdr:row>
      <xdr:rowOff>1173163</xdr:rowOff>
    </xdr:to>
    <xdr:pic>
      <xdr:nvPicPr>
        <xdr:cNvPr id="653" name="Picture 652" descr="Insight Picture 652">
          <a:extLst>
            <a:ext uri="{FF2B5EF4-FFF2-40B4-BE49-F238E27FC236}">
              <a16:creationId xmlns:a16="http://schemas.microsoft.com/office/drawing/2014/main" id="{23AC0DF5-1B69-E451-F45A-E304D9C8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428625" y="369384263"/>
          <a:ext cx="19145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521493</xdr:colOff>
      <xdr:row>327</xdr:row>
      <xdr:rowOff>60722</xdr:rowOff>
    </xdr:from>
    <xdr:to>
      <xdr:col>0</xdr:col>
      <xdr:colOff>2247106</xdr:colOff>
      <xdr:row>327</xdr:row>
      <xdr:rowOff>1285478</xdr:rowOff>
    </xdr:to>
    <xdr:pic>
      <xdr:nvPicPr>
        <xdr:cNvPr id="655" name="Picture 654" descr="Insight Picture 654">
          <a:extLst>
            <a:ext uri="{FF2B5EF4-FFF2-40B4-BE49-F238E27FC236}">
              <a16:creationId xmlns:a16="http://schemas.microsoft.com/office/drawing/2014/main" id="{FB23924F-54CE-B808-1E80-7DEA18267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521493" y="370621322"/>
          <a:ext cx="172878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889397</xdr:colOff>
      <xdr:row>328</xdr:row>
      <xdr:rowOff>61913</xdr:rowOff>
    </xdr:from>
    <xdr:to>
      <xdr:col>0</xdr:col>
      <xdr:colOff>1876028</xdr:colOff>
      <xdr:row>328</xdr:row>
      <xdr:rowOff>1093788</xdr:rowOff>
    </xdr:to>
    <xdr:pic>
      <xdr:nvPicPr>
        <xdr:cNvPr id="657" name="Picture 656" descr="Insight Picture 656">
          <a:extLst>
            <a:ext uri="{FF2B5EF4-FFF2-40B4-BE49-F238E27FC236}">
              <a16:creationId xmlns:a16="http://schemas.microsoft.com/office/drawing/2014/main" id="{35024E9F-646D-3583-A25B-56268D8D8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889397" y="371965538"/>
          <a:ext cx="992981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882253</xdr:colOff>
      <xdr:row>329</xdr:row>
      <xdr:rowOff>61913</xdr:rowOff>
    </xdr:from>
    <xdr:to>
      <xdr:col>0</xdr:col>
      <xdr:colOff>1895872</xdr:colOff>
      <xdr:row>329</xdr:row>
      <xdr:rowOff>830263</xdr:rowOff>
    </xdr:to>
    <xdr:pic>
      <xdr:nvPicPr>
        <xdr:cNvPr id="659" name="Picture 658" descr="Insight Picture 658">
          <a:extLst>
            <a:ext uri="{FF2B5EF4-FFF2-40B4-BE49-F238E27FC236}">
              <a16:creationId xmlns:a16="http://schemas.microsoft.com/office/drawing/2014/main" id="{CC6647C5-750E-08A8-A213-C0F0D2A5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882253" y="373118063"/>
          <a:ext cx="1007269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330</xdr:row>
      <xdr:rowOff>60722</xdr:rowOff>
    </xdr:from>
    <xdr:to>
      <xdr:col>0</xdr:col>
      <xdr:colOff>1711325</xdr:colOff>
      <xdr:row>330</xdr:row>
      <xdr:rowOff>713978</xdr:rowOff>
    </xdr:to>
    <xdr:pic>
      <xdr:nvPicPr>
        <xdr:cNvPr id="661" name="Picture 660" descr="Insight Picture 660">
          <a:extLst>
            <a:ext uri="{FF2B5EF4-FFF2-40B4-BE49-F238E27FC236}">
              <a16:creationId xmlns:a16="http://schemas.microsoft.com/office/drawing/2014/main" id="{78571425-DDAB-7A88-823D-5D1A6E64F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057275" y="374012222"/>
          <a:ext cx="657225" cy="650081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331</xdr:row>
      <xdr:rowOff>60722</xdr:rowOff>
    </xdr:from>
    <xdr:to>
      <xdr:col>0</xdr:col>
      <xdr:colOff>1971675</xdr:colOff>
      <xdr:row>331</xdr:row>
      <xdr:rowOff>850503</xdr:rowOff>
    </xdr:to>
    <xdr:pic>
      <xdr:nvPicPr>
        <xdr:cNvPr id="663" name="Picture 662" descr="Insight Picture 662">
          <a:extLst>
            <a:ext uri="{FF2B5EF4-FFF2-40B4-BE49-F238E27FC236}">
              <a16:creationId xmlns:a16="http://schemas.microsoft.com/office/drawing/2014/main" id="{68F22FF8-216D-087C-FCB1-2AC1F9295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800100" y="374783747"/>
          <a:ext cx="1171575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789385</xdr:colOff>
      <xdr:row>332</xdr:row>
      <xdr:rowOff>60722</xdr:rowOff>
    </xdr:from>
    <xdr:to>
      <xdr:col>0</xdr:col>
      <xdr:colOff>1979216</xdr:colOff>
      <xdr:row>332</xdr:row>
      <xdr:rowOff>1056878</xdr:rowOff>
    </xdr:to>
    <xdr:pic>
      <xdr:nvPicPr>
        <xdr:cNvPr id="665" name="Picture 664" descr="Insight Picture 664">
          <a:extLst>
            <a:ext uri="{FF2B5EF4-FFF2-40B4-BE49-F238E27FC236}">
              <a16:creationId xmlns:a16="http://schemas.microsoft.com/office/drawing/2014/main" id="{EBC45DD1-D318-ECB4-C8BD-952CFAC2C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789385" y="375698147"/>
          <a:ext cx="1193006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333</xdr:row>
      <xdr:rowOff>60722</xdr:rowOff>
    </xdr:from>
    <xdr:to>
      <xdr:col>0</xdr:col>
      <xdr:colOff>2028825</xdr:colOff>
      <xdr:row>333</xdr:row>
      <xdr:rowOff>1285478</xdr:rowOff>
    </xdr:to>
    <xdr:pic>
      <xdr:nvPicPr>
        <xdr:cNvPr id="667" name="Picture 666" descr="Insight Picture 666">
          <a:extLst>
            <a:ext uri="{FF2B5EF4-FFF2-40B4-BE49-F238E27FC236}">
              <a16:creationId xmlns:a16="http://schemas.microsoft.com/office/drawing/2014/main" id="{F04E83B9-7F2A-60FA-7618-0CFC0A0C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742950" y="376812572"/>
          <a:ext cx="12858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334</xdr:row>
      <xdr:rowOff>61913</xdr:rowOff>
    </xdr:from>
    <xdr:to>
      <xdr:col>0</xdr:col>
      <xdr:colOff>2064544</xdr:colOff>
      <xdr:row>334</xdr:row>
      <xdr:rowOff>1287463</xdr:rowOff>
    </xdr:to>
    <xdr:pic>
      <xdr:nvPicPr>
        <xdr:cNvPr id="669" name="Picture 668" descr="Insight Picture 668">
          <a:extLst>
            <a:ext uri="{FF2B5EF4-FFF2-40B4-BE49-F238E27FC236}">
              <a16:creationId xmlns:a16="http://schemas.microsoft.com/office/drawing/2014/main" id="{B9C69CC8-D399-EEEC-6775-5D7BD8AE2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707231" y="378156788"/>
          <a:ext cx="1357313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789385</xdr:colOff>
      <xdr:row>335</xdr:row>
      <xdr:rowOff>60722</xdr:rowOff>
    </xdr:from>
    <xdr:to>
      <xdr:col>0</xdr:col>
      <xdr:colOff>1979216</xdr:colOff>
      <xdr:row>335</xdr:row>
      <xdr:rowOff>1285478</xdr:rowOff>
    </xdr:to>
    <xdr:pic>
      <xdr:nvPicPr>
        <xdr:cNvPr id="671" name="Picture 670" descr="Insight Picture 670">
          <a:extLst>
            <a:ext uri="{FF2B5EF4-FFF2-40B4-BE49-F238E27FC236}">
              <a16:creationId xmlns:a16="http://schemas.microsoft.com/office/drawing/2014/main" id="{92595428-553F-BE97-1D0F-517DF336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789385" y="379508147"/>
          <a:ext cx="11930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950119</xdr:colOff>
      <xdr:row>336</xdr:row>
      <xdr:rowOff>63103</xdr:rowOff>
    </xdr:from>
    <xdr:to>
      <xdr:col>0</xdr:col>
      <xdr:colOff>1821657</xdr:colOff>
      <xdr:row>336</xdr:row>
      <xdr:rowOff>1038622</xdr:rowOff>
    </xdr:to>
    <xdr:pic>
      <xdr:nvPicPr>
        <xdr:cNvPr id="673" name="Picture 672" descr="Insight Picture 672">
          <a:extLst>
            <a:ext uri="{FF2B5EF4-FFF2-40B4-BE49-F238E27FC236}">
              <a16:creationId xmlns:a16="http://schemas.microsoft.com/office/drawing/2014/main" id="{C38BC731-E33A-C5E6-12DC-F0094188F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950119" y="380853553"/>
          <a:ext cx="871538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337</xdr:row>
      <xdr:rowOff>61913</xdr:rowOff>
    </xdr:from>
    <xdr:to>
      <xdr:col>0</xdr:col>
      <xdr:colOff>2088753</xdr:colOff>
      <xdr:row>337</xdr:row>
      <xdr:rowOff>887413</xdr:rowOff>
    </xdr:to>
    <xdr:pic>
      <xdr:nvPicPr>
        <xdr:cNvPr id="675" name="Picture 674" descr="Insight Picture 674">
          <a:extLst>
            <a:ext uri="{FF2B5EF4-FFF2-40B4-BE49-F238E27FC236}">
              <a16:creationId xmlns:a16="http://schemas.microsoft.com/office/drawing/2014/main" id="{C40B1C72-99AA-7031-4A57-0B895EED7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689372" y="381957263"/>
          <a:ext cx="139303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338</xdr:row>
      <xdr:rowOff>63103</xdr:rowOff>
    </xdr:from>
    <xdr:to>
      <xdr:col>0</xdr:col>
      <xdr:colOff>2088753</xdr:colOff>
      <xdr:row>338</xdr:row>
      <xdr:rowOff>844947</xdr:rowOff>
    </xdr:to>
    <xdr:pic>
      <xdr:nvPicPr>
        <xdr:cNvPr id="677" name="Picture 676" descr="Insight Picture 676">
          <a:extLst>
            <a:ext uri="{FF2B5EF4-FFF2-40B4-BE49-F238E27FC236}">
              <a16:creationId xmlns:a16="http://schemas.microsoft.com/office/drawing/2014/main" id="{2812538A-0F8B-5D55-1156-4C07A3E35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689372" y="382910953"/>
          <a:ext cx="139303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339</xdr:row>
      <xdr:rowOff>63103</xdr:rowOff>
    </xdr:from>
    <xdr:to>
      <xdr:col>0</xdr:col>
      <xdr:colOff>2088753</xdr:colOff>
      <xdr:row>339</xdr:row>
      <xdr:rowOff>902097</xdr:rowOff>
    </xdr:to>
    <xdr:pic>
      <xdr:nvPicPr>
        <xdr:cNvPr id="679" name="Picture 678" descr="Insight Picture 678">
          <a:extLst>
            <a:ext uri="{FF2B5EF4-FFF2-40B4-BE49-F238E27FC236}">
              <a16:creationId xmlns:a16="http://schemas.microsoft.com/office/drawing/2014/main" id="{20090EAB-2FE4-D26D-C875-993A9F8AE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689372" y="383815828"/>
          <a:ext cx="1393031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478631</xdr:colOff>
      <xdr:row>340</xdr:row>
      <xdr:rowOff>60722</xdr:rowOff>
    </xdr:from>
    <xdr:to>
      <xdr:col>0</xdr:col>
      <xdr:colOff>2293144</xdr:colOff>
      <xdr:row>340</xdr:row>
      <xdr:rowOff>1285478</xdr:rowOff>
    </xdr:to>
    <xdr:pic>
      <xdr:nvPicPr>
        <xdr:cNvPr id="681" name="Picture 680" descr="Insight Picture 680">
          <a:extLst>
            <a:ext uri="{FF2B5EF4-FFF2-40B4-BE49-F238E27FC236}">
              <a16:creationId xmlns:a16="http://schemas.microsoft.com/office/drawing/2014/main" id="{595BACFF-4D56-FB3E-3CB6-52D77240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478631" y="384775472"/>
          <a:ext cx="18145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341</xdr:row>
      <xdr:rowOff>60722</xdr:rowOff>
    </xdr:from>
    <xdr:to>
      <xdr:col>0</xdr:col>
      <xdr:colOff>1904207</xdr:colOff>
      <xdr:row>341</xdr:row>
      <xdr:rowOff>1285478</xdr:rowOff>
    </xdr:to>
    <xdr:pic>
      <xdr:nvPicPr>
        <xdr:cNvPr id="683" name="Picture 682" descr="Insight Picture 682">
          <a:extLst>
            <a:ext uri="{FF2B5EF4-FFF2-40B4-BE49-F238E27FC236}">
              <a16:creationId xmlns:a16="http://schemas.microsoft.com/office/drawing/2014/main" id="{323162AB-55B4-B810-7BE4-9557E9BF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864394" y="386118497"/>
          <a:ext cx="104298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342</xdr:row>
      <xdr:rowOff>59531</xdr:rowOff>
    </xdr:from>
    <xdr:to>
      <xdr:col>0</xdr:col>
      <xdr:colOff>1997075</xdr:colOff>
      <xdr:row>342</xdr:row>
      <xdr:rowOff>1102519</xdr:rowOff>
    </xdr:to>
    <xdr:pic>
      <xdr:nvPicPr>
        <xdr:cNvPr id="685" name="Picture 684" descr="Insight Picture 684">
          <a:extLst>
            <a:ext uri="{FF2B5EF4-FFF2-40B4-BE49-F238E27FC236}">
              <a16:creationId xmlns:a16="http://schemas.microsoft.com/office/drawing/2014/main" id="{7BCA5757-ED50-BFFD-2DB8-6F4E6D520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771525" y="387460331"/>
          <a:ext cx="1228725" cy="1042988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343</xdr:row>
      <xdr:rowOff>60722</xdr:rowOff>
    </xdr:from>
    <xdr:to>
      <xdr:col>0</xdr:col>
      <xdr:colOff>2036366</xdr:colOff>
      <xdr:row>343</xdr:row>
      <xdr:rowOff>1285478</xdr:rowOff>
    </xdr:to>
    <xdr:pic>
      <xdr:nvPicPr>
        <xdr:cNvPr id="687" name="Picture 686" descr="Insight Picture 686">
          <a:extLst>
            <a:ext uri="{FF2B5EF4-FFF2-40B4-BE49-F238E27FC236}">
              <a16:creationId xmlns:a16="http://schemas.microsoft.com/office/drawing/2014/main" id="{3A2BDF12-9586-1DA8-1C47-084FB4428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732235" y="388623572"/>
          <a:ext cx="13073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344</xdr:row>
      <xdr:rowOff>60722</xdr:rowOff>
    </xdr:from>
    <xdr:to>
      <xdr:col>0</xdr:col>
      <xdr:colOff>2282825</xdr:colOff>
      <xdr:row>344</xdr:row>
      <xdr:rowOff>1079103</xdr:rowOff>
    </xdr:to>
    <xdr:pic>
      <xdr:nvPicPr>
        <xdr:cNvPr id="689" name="Picture 688" descr="Insight Picture 688">
          <a:extLst>
            <a:ext uri="{FF2B5EF4-FFF2-40B4-BE49-F238E27FC236}">
              <a16:creationId xmlns:a16="http://schemas.microsoft.com/office/drawing/2014/main" id="{282F369C-E31B-BEA4-B00C-5385338C5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485775" y="389966597"/>
          <a:ext cx="1800225" cy="1021556"/>
        </a:xfrm>
        <a:prstGeom prst="rect">
          <a:avLst/>
        </a:prstGeom>
      </xdr:spPr>
    </xdr:pic>
    <xdr:clientData/>
  </xdr:twoCellAnchor>
  <xdr:twoCellAnchor editAs="oneCell">
    <xdr:from>
      <xdr:col>0</xdr:col>
      <xdr:colOff>396478</xdr:colOff>
      <xdr:row>345</xdr:row>
      <xdr:rowOff>63103</xdr:rowOff>
    </xdr:from>
    <xdr:to>
      <xdr:col>0</xdr:col>
      <xdr:colOff>2368947</xdr:colOff>
      <xdr:row>345</xdr:row>
      <xdr:rowOff>1244997</xdr:rowOff>
    </xdr:to>
    <xdr:pic>
      <xdr:nvPicPr>
        <xdr:cNvPr id="691" name="Picture 690" descr="Insight Picture 690">
          <a:extLst>
            <a:ext uri="{FF2B5EF4-FFF2-40B4-BE49-F238E27FC236}">
              <a16:creationId xmlns:a16="http://schemas.microsoft.com/office/drawing/2014/main" id="{B0CD7217-BA23-23EF-8F88-A7DB9B19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396478" y="391111978"/>
          <a:ext cx="1978819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560784</xdr:colOff>
      <xdr:row>346</xdr:row>
      <xdr:rowOff>59531</xdr:rowOff>
    </xdr:from>
    <xdr:to>
      <xdr:col>0</xdr:col>
      <xdr:colOff>2207815</xdr:colOff>
      <xdr:row>346</xdr:row>
      <xdr:rowOff>848519</xdr:rowOff>
    </xdr:to>
    <xdr:pic>
      <xdr:nvPicPr>
        <xdr:cNvPr id="693" name="Picture 692" descr="Insight Picture 692">
          <a:extLst>
            <a:ext uri="{FF2B5EF4-FFF2-40B4-BE49-F238E27FC236}">
              <a16:creationId xmlns:a16="http://schemas.microsoft.com/office/drawing/2014/main" id="{8C66FB13-7692-5D56-6799-6BD304CC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560784" y="392413331"/>
          <a:ext cx="1650206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625078</xdr:colOff>
      <xdr:row>347</xdr:row>
      <xdr:rowOff>60722</xdr:rowOff>
    </xdr:from>
    <xdr:to>
      <xdr:col>0</xdr:col>
      <xdr:colOff>2140347</xdr:colOff>
      <xdr:row>347</xdr:row>
      <xdr:rowOff>1285478</xdr:rowOff>
    </xdr:to>
    <xdr:pic>
      <xdr:nvPicPr>
        <xdr:cNvPr id="695" name="Picture 694" descr="Insight Picture 694">
          <a:extLst>
            <a:ext uri="{FF2B5EF4-FFF2-40B4-BE49-F238E27FC236}">
              <a16:creationId xmlns:a16="http://schemas.microsoft.com/office/drawing/2014/main" id="{3A301696-9B37-163C-CFAC-672EED675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625078" y="393319397"/>
          <a:ext cx="15216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348</xdr:row>
      <xdr:rowOff>59531</xdr:rowOff>
    </xdr:from>
    <xdr:to>
      <xdr:col>0</xdr:col>
      <xdr:colOff>2085975</xdr:colOff>
      <xdr:row>348</xdr:row>
      <xdr:rowOff>1045369</xdr:rowOff>
    </xdr:to>
    <xdr:pic>
      <xdr:nvPicPr>
        <xdr:cNvPr id="697" name="Picture 696" descr="Insight Picture 696">
          <a:extLst>
            <a:ext uri="{FF2B5EF4-FFF2-40B4-BE49-F238E27FC236}">
              <a16:creationId xmlns:a16="http://schemas.microsoft.com/office/drawing/2014/main" id="{88661DDF-12C5-7E7F-BF96-0EDF7B377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685800" y="394661231"/>
          <a:ext cx="1400175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307181</xdr:colOff>
      <xdr:row>349</xdr:row>
      <xdr:rowOff>60722</xdr:rowOff>
    </xdr:from>
    <xdr:to>
      <xdr:col>1</xdr:col>
      <xdr:colOff>54769</xdr:colOff>
      <xdr:row>349</xdr:row>
      <xdr:rowOff>1285478</xdr:rowOff>
    </xdr:to>
    <xdr:pic>
      <xdr:nvPicPr>
        <xdr:cNvPr id="699" name="Picture 698" descr="Insight Picture 698">
          <a:extLst>
            <a:ext uri="{FF2B5EF4-FFF2-40B4-BE49-F238E27FC236}">
              <a16:creationId xmlns:a16="http://schemas.microsoft.com/office/drawing/2014/main" id="{63CB2E96-1B39-FBEF-D6A0-D445F550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307181" y="395767322"/>
          <a:ext cx="21574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535781</xdr:colOff>
      <xdr:row>350</xdr:row>
      <xdr:rowOff>60722</xdr:rowOff>
    </xdr:from>
    <xdr:to>
      <xdr:col>0</xdr:col>
      <xdr:colOff>2235994</xdr:colOff>
      <xdr:row>350</xdr:row>
      <xdr:rowOff>1056878</xdr:rowOff>
    </xdr:to>
    <xdr:pic>
      <xdr:nvPicPr>
        <xdr:cNvPr id="701" name="Picture 700" descr="Insight Picture 700">
          <a:extLst>
            <a:ext uri="{FF2B5EF4-FFF2-40B4-BE49-F238E27FC236}">
              <a16:creationId xmlns:a16="http://schemas.microsoft.com/office/drawing/2014/main" id="{1F793E93-6CFD-DA3C-4E21-F1E7EB66B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535781" y="397110347"/>
          <a:ext cx="1700213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700088</xdr:colOff>
      <xdr:row>351</xdr:row>
      <xdr:rowOff>60722</xdr:rowOff>
    </xdr:from>
    <xdr:to>
      <xdr:col>0</xdr:col>
      <xdr:colOff>2065338</xdr:colOff>
      <xdr:row>351</xdr:row>
      <xdr:rowOff>1285478</xdr:rowOff>
    </xdr:to>
    <xdr:pic>
      <xdr:nvPicPr>
        <xdr:cNvPr id="703" name="Picture 702" descr="Insight Picture 702">
          <a:extLst>
            <a:ext uri="{FF2B5EF4-FFF2-40B4-BE49-F238E27FC236}">
              <a16:creationId xmlns:a16="http://schemas.microsoft.com/office/drawing/2014/main" id="{78A6544C-A101-7490-C276-B16CEF76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700088" y="398224772"/>
          <a:ext cx="13716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703660</xdr:colOff>
      <xdr:row>352</xdr:row>
      <xdr:rowOff>60722</xdr:rowOff>
    </xdr:from>
    <xdr:to>
      <xdr:col>0</xdr:col>
      <xdr:colOff>2068116</xdr:colOff>
      <xdr:row>352</xdr:row>
      <xdr:rowOff>1285478</xdr:rowOff>
    </xdr:to>
    <xdr:pic>
      <xdr:nvPicPr>
        <xdr:cNvPr id="705" name="Picture 704" descr="Insight Picture 704">
          <a:extLst>
            <a:ext uri="{FF2B5EF4-FFF2-40B4-BE49-F238E27FC236}">
              <a16:creationId xmlns:a16="http://schemas.microsoft.com/office/drawing/2014/main" id="{70A20C82-411E-6D22-80D9-683F0A071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703660" y="399567797"/>
          <a:ext cx="136445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353</xdr:row>
      <xdr:rowOff>60722</xdr:rowOff>
    </xdr:from>
    <xdr:to>
      <xdr:col>0</xdr:col>
      <xdr:colOff>2125266</xdr:colOff>
      <xdr:row>353</xdr:row>
      <xdr:rowOff>793353</xdr:rowOff>
    </xdr:to>
    <xdr:pic>
      <xdr:nvPicPr>
        <xdr:cNvPr id="707" name="Picture 706" descr="Insight Picture 706">
          <a:extLst>
            <a:ext uri="{FF2B5EF4-FFF2-40B4-BE49-F238E27FC236}">
              <a16:creationId xmlns:a16="http://schemas.microsoft.com/office/drawing/2014/main" id="{B3EF54B2-281F-AD8F-D112-2E195185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646510" y="400910822"/>
          <a:ext cx="1478756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260747</xdr:colOff>
      <xdr:row>354</xdr:row>
      <xdr:rowOff>60722</xdr:rowOff>
    </xdr:from>
    <xdr:to>
      <xdr:col>1</xdr:col>
      <xdr:colOff>94853</xdr:colOff>
      <xdr:row>354</xdr:row>
      <xdr:rowOff>1171178</xdr:rowOff>
    </xdr:to>
    <xdr:pic>
      <xdr:nvPicPr>
        <xdr:cNvPr id="709" name="Picture 708" descr="Insight Picture 708">
          <a:extLst>
            <a:ext uri="{FF2B5EF4-FFF2-40B4-BE49-F238E27FC236}">
              <a16:creationId xmlns:a16="http://schemas.microsoft.com/office/drawing/2014/main" id="{361F00E1-5492-672E-5B88-11932ACE1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260747" y="401768072"/>
          <a:ext cx="2250281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510778</xdr:colOff>
      <xdr:row>355</xdr:row>
      <xdr:rowOff>60722</xdr:rowOff>
    </xdr:from>
    <xdr:to>
      <xdr:col>0</xdr:col>
      <xdr:colOff>2254647</xdr:colOff>
      <xdr:row>355</xdr:row>
      <xdr:rowOff>1285478</xdr:rowOff>
    </xdr:to>
    <xdr:pic>
      <xdr:nvPicPr>
        <xdr:cNvPr id="711" name="Picture 710" descr="Insight Picture 710">
          <a:extLst>
            <a:ext uri="{FF2B5EF4-FFF2-40B4-BE49-F238E27FC236}">
              <a16:creationId xmlns:a16="http://schemas.microsoft.com/office/drawing/2014/main" id="{CCAEB96A-D905-1507-A03A-13FD6349F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510778" y="402996797"/>
          <a:ext cx="17502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356</xdr:row>
      <xdr:rowOff>63103</xdr:rowOff>
    </xdr:from>
    <xdr:to>
      <xdr:col>0</xdr:col>
      <xdr:colOff>2339975</xdr:colOff>
      <xdr:row>356</xdr:row>
      <xdr:rowOff>1267222</xdr:rowOff>
    </xdr:to>
    <xdr:pic>
      <xdr:nvPicPr>
        <xdr:cNvPr id="713" name="Picture 712" descr="Insight Picture 712">
          <a:extLst>
            <a:ext uri="{FF2B5EF4-FFF2-40B4-BE49-F238E27FC236}">
              <a16:creationId xmlns:a16="http://schemas.microsoft.com/office/drawing/2014/main" id="{F17FD252-5888-7CE1-EB86-D886F1AA4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428625" y="404342203"/>
          <a:ext cx="1914525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357</xdr:row>
      <xdr:rowOff>63103</xdr:rowOff>
    </xdr:from>
    <xdr:to>
      <xdr:col>0</xdr:col>
      <xdr:colOff>2067322</xdr:colOff>
      <xdr:row>357</xdr:row>
      <xdr:rowOff>844947</xdr:rowOff>
    </xdr:to>
    <xdr:pic>
      <xdr:nvPicPr>
        <xdr:cNvPr id="715" name="Picture 714" descr="Insight Picture 714">
          <a:extLst>
            <a:ext uri="{FF2B5EF4-FFF2-40B4-BE49-F238E27FC236}">
              <a16:creationId xmlns:a16="http://schemas.microsoft.com/office/drawing/2014/main" id="{E13150A2-94E3-7F56-1F0D-FE392F357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710803" y="40567570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358</xdr:row>
      <xdr:rowOff>59531</xdr:rowOff>
    </xdr:from>
    <xdr:to>
      <xdr:col>0</xdr:col>
      <xdr:colOff>2036366</xdr:colOff>
      <xdr:row>358</xdr:row>
      <xdr:rowOff>1191419</xdr:rowOff>
    </xdr:to>
    <xdr:pic>
      <xdr:nvPicPr>
        <xdr:cNvPr id="717" name="Picture 716" descr="Insight Picture 716">
          <a:extLst>
            <a:ext uri="{FF2B5EF4-FFF2-40B4-BE49-F238E27FC236}">
              <a16:creationId xmlns:a16="http://schemas.microsoft.com/office/drawing/2014/main" id="{34FA9263-D91E-184F-74F2-F4C5ACB9D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732235" y="406577006"/>
          <a:ext cx="1307306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359</xdr:row>
      <xdr:rowOff>61913</xdr:rowOff>
    </xdr:from>
    <xdr:to>
      <xdr:col>0</xdr:col>
      <xdr:colOff>2085975</xdr:colOff>
      <xdr:row>359</xdr:row>
      <xdr:rowOff>1093788</xdr:rowOff>
    </xdr:to>
    <xdr:pic>
      <xdr:nvPicPr>
        <xdr:cNvPr id="719" name="Picture 718" descr="Insight Picture 718">
          <a:extLst>
            <a:ext uri="{FF2B5EF4-FFF2-40B4-BE49-F238E27FC236}">
              <a16:creationId xmlns:a16="http://schemas.microsoft.com/office/drawing/2014/main" id="{828F4717-6DB3-72AD-BFC1-0B10E22D9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685800" y="407827163"/>
          <a:ext cx="140017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282178</xdr:colOff>
      <xdr:row>360</xdr:row>
      <xdr:rowOff>59531</xdr:rowOff>
    </xdr:from>
    <xdr:to>
      <xdr:col>1</xdr:col>
      <xdr:colOff>73422</xdr:colOff>
      <xdr:row>360</xdr:row>
      <xdr:rowOff>1273969</xdr:rowOff>
    </xdr:to>
    <xdr:pic>
      <xdr:nvPicPr>
        <xdr:cNvPr id="721" name="Picture 720" descr="Insight Picture 720">
          <a:extLst>
            <a:ext uri="{FF2B5EF4-FFF2-40B4-BE49-F238E27FC236}">
              <a16:creationId xmlns:a16="http://schemas.microsoft.com/office/drawing/2014/main" id="{A3CB6132-67D5-C19D-FD5C-28776080A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282178" y="408977306"/>
          <a:ext cx="220741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546497</xdr:colOff>
      <xdr:row>361</xdr:row>
      <xdr:rowOff>63103</xdr:rowOff>
    </xdr:from>
    <xdr:to>
      <xdr:col>0</xdr:col>
      <xdr:colOff>2218928</xdr:colOff>
      <xdr:row>361</xdr:row>
      <xdr:rowOff>1187847</xdr:rowOff>
    </xdr:to>
    <xdr:pic>
      <xdr:nvPicPr>
        <xdr:cNvPr id="723" name="Picture 722" descr="Insight Picture 722">
          <a:extLst>
            <a:ext uri="{FF2B5EF4-FFF2-40B4-BE49-F238E27FC236}">
              <a16:creationId xmlns:a16="http://schemas.microsoft.com/office/drawing/2014/main" id="{F4714AA4-81CB-50CF-8396-6372BD852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546497" y="410314378"/>
          <a:ext cx="1678781" cy="1121569"/>
        </a:xfrm>
        <a:prstGeom prst="rect">
          <a:avLst/>
        </a:prstGeom>
      </xdr:spPr>
    </xdr:pic>
    <xdr:clientData/>
  </xdr:twoCellAnchor>
  <xdr:twoCellAnchor editAs="oneCell">
    <xdr:from>
      <xdr:col>0</xdr:col>
      <xdr:colOff>675085</xdr:colOff>
      <xdr:row>362</xdr:row>
      <xdr:rowOff>60722</xdr:rowOff>
    </xdr:from>
    <xdr:to>
      <xdr:col>0</xdr:col>
      <xdr:colOff>2093516</xdr:colOff>
      <xdr:row>362</xdr:row>
      <xdr:rowOff>1285478</xdr:rowOff>
    </xdr:to>
    <xdr:pic>
      <xdr:nvPicPr>
        <xdr:cNvPr id="725" name="Picture 724" descr="Insight Picture 724">
          <a:extLst>
            <a:ext uri="{FF2B5EF4-FFF2-40B4-BE49-F238E27FC236}">
              <a16:creationId xmlns:a16="http://schemas.microsoft.com/office/drawing/2014/main" id="{E5D1FB1A-F319-F874-8B42-8685CE8A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675085" y="411559772"/>
          <a:ext cx="14216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332184</xdr:colOff>
      <xdr:row>363</xdr:row>
      <xdr:rowOff>60722</xdr:rowOff>
    </xdr:from>
    <xdr:to>
      <xdr:col>1</xdr:col>
      <xdr:colOff>26590</xdr:colOff>
      <xdr:row>363</xdr:row>
      <xdr:rowOff>1285478</xdr:rowOff>
    </xdr:to>
    <xdr:pic>
      <xdr:nvPicPr>
        <xdr:cNvPr id="727" name="Picture 726" descr="Insight Picture 726">
          <a:extLst>
            <a:ext uri="{FF2B5EF4-FFF2-40B4-BE49-F238E27FC236}">
              <a16:creationId xmlns:a16="http://schemas.microsoft.com/office/drawing/2014/main" id="{387D05E9-CD0A-0103-B026-FBC02E23B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332184" y="412902797"/>
          <a:ext cx="21074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346472</xdr:colOff>
      <xdr:row>364</xdr:row>
      <xdr:rowOff>63103</xdr:rowOff>
    </xdr:from>
    <xdr:to>
      <xdr:col>1</xdr:col>
      <xdr:colOff>21828</xdr:colOff>
      <xdr:row>364</xdr:row>
      <xdr:rowOff>1267222</xdr:rowOff>
    </xdr:to>
    <xdr:pic>
      <xdr:nvPicPr>
        <xdr:cNvPr id="729" name="Picture 728" descr="Insight Picture 728">
          <a:extLst>
            <a:ext uri="{FF2B5EF4-FFF2-40B4-BE49-F238E27FC236}">
              <a16:creationId xmlns:a16="http://schemas.microsoft.com/office/drawing/2014/main" id="{82CCDB19-61C9-7B26-CED4-05E9CC60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346472" y="414248203"/>
          <a:ext cx="2078831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365</xdr:row>
      <xdr:rowOff>60722</xdr:rowOff>
    </xdr:from>
    <xdr:to>
      <xdr:col>0</xdr:col>
      <xdr:colOff>2088753</xdr:colOff>
      <xdr:row>365</xdr:row>
      <xdr:rowOff>999728</xdr:rowOff>
    </xdr:to>
    <xdr:pic>
      <xdr:nvPicPr>
        <xdr:cNvPr id="731" name="Picture 730" descr="Insight Picture 730">
          <a:extLst>
            <a:ext uri="{FF2B5EF4-FFF2-40B4-BE49-F238E27FC236}">
              <a16:creationId xmlns:a16="http://schemas.microsoft.com/office/drawing/2014/main" id="{F3C4B924-18B8-254A-8AE0-2B2F64F2C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689372" y="415579322"/>
          <a:ext cx="1393031" cy="93583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4B63-25A3-4B52-872E-A23EA18C9162}">
  <dimension ref="A1:H366"/>
  <sheetViews>
    <sheetView tabSelected="1" topLeftCell="A63" workbookViewId="0">
      <selection activeCell="C65" sqref="C65"/>
    </sheetView>
  </sheetViews>
  <sheetFormatPr defaultColWidth="11.453125" defaultRowHeight="12.5" x14ac:dyDescent="0.25"/>
  <cols>
    <col min="1" max="1" width="34.54296875" style="1" customWidth="1"/>
    <col min="2" max="2" width="11.453125" style="1"/>
    <col min="3" max="3" width="21.54296875" style="1" bestFit="1" customWidth="1"/>
    <col min="4" max="4" width="17.7265625" style="1" customWidth="1"/>
    <col min="5" max="5" width="11.453125" style="1"/>
    <col min="6" max="6" width="14.81640625" style="1" customWidth="1"/>
    <col min="7" max="7" width="11.453125" style="1"/>
    <col min="8" max="8" width="12.453125" style="1" customWidth="1"/>
    <col min="9" max="16384" width="11.453125" style="1"/>
  </cols>
  <sheetData>
    <row r="1" spans="1:8" ht="13" x14ac:dyDescent="0.3">
      <c r="A1" s="2" t="s">
        <v>1176</v>
      </c>
      <c r="B1" s="3" t="s">
        <v>1177</v>
      </c>
      <c r="C1" s="3" t="s">
        <v>1178</v>
      </c>
      <c r="D1" s="3" t="s">
        <v>1</v>
      </c>
      <c r="E1" s="3" t="s">
        <v>3</v>
      </c>
      <c r="F1" s="3" t="s">
        <v>4</v>
      </c>
      <c r="G1" s="3" t="s">
        <v>7</v>
      </c>
      <c r="H1" s="4" t="s">
        <v>9</v>
      </c>
    </row>
    <row r="2" spans="1:8" ht="71.25" customHeight="1" x14ac:dyDescent="0.25">
      <c r="A2" s="5" t="str">
        <f>"2,4,5-T"</f>
        <v>2,4,5-T</v>
      </c>
      <c r="B2" s="1" t="s">
        <v>0</v>
      </c>
      <c r="C2" s="1" t="s">
        <v>6</v>
      </c>
      <c r="D2" s="1" t="s">
        <v>2</v>
      </c>
      <c r="E2" s="1">
        <v>4</v>
      </c>
      <c r="F2" s="1" t="s">
        <v>5</v>
      </c>
      <c r="G2" s="1" t="s">
        <v>8</v>
      </c>
      <c r="H2" s="6" t="s">
        <v>10</v>
      </c>
    </row>
    <row r="3" spans="1:8" ht="71.25" customHeight="1" x14ac:dyDescent="0.25">
      <c r="A3" s="5" t="str">
        <f>"2,4-D"</f>
        <v>2,4-D</v>
      </c>
      <c r="B3" s="1" t="s">
        <v>11</v>
      </c>
      <c r="C3" s="1" t="s">
        <v>6</v>
      </c>
      <c r="D3" s="1" t="s">
        <v>2</v>
      </c>
      <c r="E3" s="1">
        <v>4</v>
      </c>
      <c r="F3" s="1" t="s">
        <v>5</v>
      </c>
      <c r="G3" s="1" t="s">
        <v>12</v>
      </c>
      <c r="H3" s="6" t="s">
        <v>13</v>
      </c>
    </row>
    <row r="4" spans="1:8" ht="71.25" customHeight="1" x14ac:dyDescent="0.25">
      <c r="A4" s="5" t="str">
        <f>"2,4-DB"</f>
        <v>2,4-DB</v>
      </c>
      <c r="B4" s="1" t="s">
        <v>14</v>
      </c>
      <c r="C4" s="1" t="s">
        <v>6</v>
      </c>
      <c r="D4" s="1" t="s">
        <v>2</v>
      </c>
      <c r="E4" s="1">
        <v>4</v>
      </c>
      <c r="F4" s="1" t="s">
        <v>5</v>
      </c>
      <c r="G4" s="1" t="s">
        <v>15</v>
      </c>
      <c r="H4" s="6" t="s">
        <v>16</v>
      </c>
    </row>
    <row r="5" spans="1:8" ht="106.15" customHeight="1" x14ac:dyDescent="0.25">
      <c r="A5" s="5" t="str">
        <f>"Acetochlor"</f>
        <v>Acetochlor</v>
      </c>
      <c r="B5" s="1" t="s">
        <v>17</v>
      </c>
      <c r="C5" s="1" t="s">
        <v>20</v>
      </c>
      <c r="D5" s="1" t="s">
        <v>18</v>
      </c>
      <c r="E5" s="1">
        <v>15</v>
      </c>
      <c r="F5" s="1" t="s">
        <v>19</v>
      </c>
      <c r="G5" s="1" t="s">
        <v>21</v>
      </c>
      <c r="H5" s="6" t="s">
        <v>22</v>
      </c>
    </row>
    <row r="6" spans="1:8" ht="87" customHeight="1" x14ac:dyDescent="0.25">
      <c r="A6" s="5" t="str">
        <f>"Acifluorfen"</f>
        <v>Acifluorfen</v>
      </c>
      <c r="B6" s="1" t="s">
        <v>23</v>
      </c>
      <c r="C6" s="1" t="s">
        <v>26</v>
      </c>
      <c r="D6" s="1" t="s">
        <v>24</v>
      </c>
      <c r="E6" s="1">
        <v>14</v>
      </c>
      <c r="F6" s="1" t="s">
        <v>25</v>
      </c>
      <c r="G6" s="1" t="s">
        <v>27</v>
      </c>
      <c r="H6" s="6" t="s">
        <v>28</v>
      </c>
    </row>
    <row r="7" spans="1:8" ht="87" customHeight="1" x14ac:dyDescent="0.25">
      <c r="A7" s="5" t="str">
        <f>"Aclonifen"</f>
        <v>Aclonifen</v>
      </c>
      <c r="B7" s="1" t="s">
        <v>29</v>
      </c>
      <c r="C7" s="1" t="s">
        <v>32</v>
      </c>
      <c r="D7" s="1" t="s">
        <v>30</v>
      </c>
      <c r="E7" s="1">
        <v>32</v>
      </c>
      <c r="F7" s="1" t="s">
        <v>31</v>
      </c>
      <c r="G7" s="1" t="s">
        <v>33</v>
      </c>
      <c r="H7" s="6" t="s">
        <v>34</v>
      </c>
    </row>
    <row r="8" spans="1:8" ht="103.9" customHeight="1" x14ac:dyDescent="0.25">
      <c r="A8" s="5" t="str">
        <f>"Alachlor"</f>
        <v>Alachlor</v>
      </c>
      <c r="B8" s="1" t="s">
        <v>35</v>
      </c>
      <c r="C8" s="1" t="s">
        <v>20</v>
      </c>
      <c r="D8" s="1" t="s">
        <v>18</v>
      </c>
      <c r="E8" s="1">
        <v>15</v>
      </c>
      <c r="F8" s="1" t="s">
        <v>19</v>
      </c>
      <c r="G8" s="1" t="s">
        <v>36</v>
      </c>
      <c r="H8" s="6" t="s">
        <v>22</v>
      </c>
    </row>
    <row r="9" spans="1:8" ht="87.65" customHeight="1" x14ac:dyDescent="0.25">
      <c r="A9" s="5" t="str">
        <f>"Allidochlor/CDAA"</f>
        <v>Allidochlor/CDAA</v>
      </c>
      <c r="B9" s="1" t="s">
        <v>37</v>
      </c>
      <c r="C9" s="1" t="s">
        <v>20</v>
      </c>
      <c r="D9" s="1" t="s">
        <v>18</v>
      </c>
      <c r="E9" s="1">
        <v>15</v>
      </c>
      <c r="F9" s="1" t="s">
        <v>19</v>
      </c>
      <c r="G9" s="1" t="s">
        <v>38</v>
      </c>
      <c r="H9" s="6" t="s">
        <v>39</v>
      </c>
    </row>
    <row r="10" spans="1:8" ht="106.15" customHeight="1" x14ac:dyDescent="0.25">
      <c r="A10" s="5" t="str">
        <f>"Alloxydim"</f>
        <v>Alloxydim</v>
      </c>
      <c r="B10" s="1" t="s">
        <v>40</v>
      </c>
      <c r="C10" s="1" t="s">
        <v>43</v>
      </c>
      <c r="D10" s="1" t="s">
        <v>41</v>
      </c>
      <c r="E10" s="1">
        <v>1</v>
      </c>
      <c r="F10" s="1" t="s">
        <v>42</v>
      </c>
      <c r="G10" s="1" t="s">
        <v>44</v>
      </c>
      <c r="H10" s="6" t="s">
        <v>45</v>
      </c>
    </row>
    <row r="11" spans="1:8" ht="75.75" customHeight="1" x14ac:dyDescent="0.25">
      <c r="A11" s="5" t="str">
        <f>"Ametryne"</f>
        <v>Ametryne</v>
      </c>
      <c r="B11" s="1" t="s">
        <v>46</v>
      </c>
      <c r="C11" s="1" t="s">
        <v>49</v>
      </c>
      <c r="D11" s="1" t="s">
        <v>47</v>
      </c>
      <c r="E11" s="1">
        <v>5</v>
      </c>
      <c r="F11" s="1" t="s">
        <v>48</v>
      </c>
      <c r="H11" s="6"/>
    </row>
    <row r="12" spans="1:8" ht="90.4" customHeight="1" x14ac:dyDescent="0.25">
      <c r="A12" s="5" t="str">
        <f>"Amicarbazone"</f>
        <v>Amicarbazone</v>
      </c>
      <c r="B12" s="1" t="s">
        <v>50</v>
      </c>
      <c r="C12" s="1" t="s">
        <v>49</v>
      </c>
      <c r="D12" s="1" t="s">
        <v>30</v>
      </c>
      <c r="E12" s="1">
        <v>5</v>
      </c>
      <c r="F12" s="1" t="s">
        <v>48</v>
      </c>
      <c r="G12" s="1" t="s">
        <v>51</v>
      </c>
      <c r="H12" s="6" t="s">
        <v>52</v>
      </c>
    </row>
    <row r="13" spans="1:8" ht="97.15" customHeight="1" x14ac:dyDescent="0.25">
      <c r="A13" s="5" t="str">
        <f>"Amidosulfuron"</f>
        <v>Amidosulfuron</v>
      </c>
      <c r="B13" s="1" t="s">
        <v>53</v>
      </c>
      <c r="C13" s="1" t="s">
        <v>56</v>
      </c>
      <c r="D13" s="1" t="s">
        <v>54</v>
      </c>
      <c r="E13" s="1">
        <v>2</v>
      </c>
      <c r="F13" s="1" t="s">
        <v>55</v>
      </c>
      <c r="G13" s="1" t="s">
        <v>57</v>
      </c>
      <c r="H13" s="6" t="s">
        <v>58</v>
      </c>
    </row>
    <row r="14" spans="1:8" ht="87" customHeight="1" x14ac:dyDescent="0.25">
      <c r="A14" s="5" t="str">
        <f>"Aminocyclopyrachlor"</f>
        <v>Aminocyclopyrachlor</v>
      </c>
      <c r="B14" s="1" t="s">
        <v>59</v>
      </c>
      <c r="C14" s="1" t="s">
        <v>6</v>
      </c>
      <c r="D14" s="1" t="s">
        <v>30</v>
      </c>
      <c r="E14" s="1">
        <v>4</v>
      </c>
      <c r="F14" s="1" t="s">
        <v>5</v>
      </c>
      <c r="G14" s="1" t="s">
        <v>60</v>
      </c>
      <c r="H14" s="6" t="s">
        <v>61</v>
      </c>
    </row>
    <row r="15" spans="1:8" ht="87" customHeight="1" x14ac:dyDescent="0.25">
      <c r="A15" s="5" t="str">
        <f>"Aminopyralid"</f>
        <v>Aminopyralid</v>
      </c>
      <c r="B15" s="1" t="s">
        <v>62</v>
      </c>
      <c r="C15" s="1" t="s">
        <v>6</v>
      </c>
      <c r="D15" s="1" t="s">
        <v>63</v>
      </c>
      <c r="E15" s="1">
        <v>4</v>
      </c>
      <c r="F15" s="1" t="s">
        <v>5</v>
      </c>
      <c r="G15" s="1" t="s">
        <v>64</v>
      </c>
      <c r="H15" s="6" t="s">
        <v>65</v>
      </c>
    </row>
    <row r="16" spans="1:8" ht="57.75" customHeight="1" x14ac:dyDescent="0.25">
      <c r="A16" s="5" t="str">
        <f>"Amitrole"</f>
        <v>Amitrole</v>
      </c>
      <c r="B16" s="1" t="s">
        <v>66</v>
      </c>
      <c r="C16" s="1" t="s">
        <v>68</v>
      </c>
      <c r="D16" s="1" t="s">
        <v>30</v>
      </c>
      <c r="E16" s="1">
        <v>0</v>
      </c>
      <c r="F16" s="1" t="s">
        <v>67</v>
      </c>
      <c r="G16" s="1" t="s">
        <v>69</v>
      </c>
      <c r="H16" s="6" t="s">
        <v>70</v>
      </c>
    </row>
    <row r="17" spans="1:8" ht="75.75" customHeight="1" x14ac:dyDescent="0.25">
      <c r="A17" s="5" t="str">
        <f>"Anilofos"</f>
        <v>Anilofos</v>
      </c>
      <c r="B17" s="1" t="s">
        <v>71</v>
      </c>
      <c r="C17" s="1" t="s">
        <v>20</v>
      </c>
      <c r="D17" s="1" t="s">
        <v>72</v>
      </c>
      <c r="E17" s="1">
        <v>15</v>
      </c>
      <c r="F17" s="1" t="s">
        <v>19</v>
      </c>
      <c r="G17" s="1" t="s">
        <v>73</v>
      </c>
      <c r="H17" s="6" t="s">
        <v>74</v>
      </c>
    </row>
    <row r="18" spans="1:8" ht="69" customHeight="1" x14ac:dyDescent="0.25">
      <c r="A18" s="5" t="str">
        <f>"Asulam"</f>
        <v>Asulam</v>
      </c>
      <c r="B18" s="1" t="s">
        <v>75</v>
      </c>
      <c r="C18" s="1" t="s">
        <v>77</v>
      </c>
      <c r="D18" s="1" t="s">
        <v>30</v>
      </c>
      <c r="E18" s="1">
        <v>18</v>
      </c>
      <c r="F18" s="1" t="s">
        <v>76</v>
      </c>
      <c r="G18" s="1" t="s">
        <v>78</v>
      </c>
      <c r="H18" s="6" t="s">
        <v>79</v>
      </c>
    </row>
    <row r="19" spans="1:8" ht="75.25" customHeight="1" x14ac:dyDescent="0.25">
      <c r="A19" s="5" t="str">
        <f>"Atraton"</f>
        <v>Atraton</v>
      </c>
      <c r="B19" s="1" t="s">
        <v>80</v>
      </c>
      <c r="C19" s="1" t="s">
        <v>82</v>
      </c>
      <c r="D19" s="1" t="s">
        <v>47</v>
      </c>
      <c r="E19" s="1">
        <v>5</v>
      </c>
      <c r="F19" s="1" t="s">
        <v>81</v>
      </c>
      <c r="G19" s="1" t="s">
        <v>83</v>
      </c>
      <c r="H19" s="6" t="s">
        <v>84</v>
      </c>
    </row>
    <row r="20" spans="1:8" ht="71.25" customHeight="1" x14ac:dyDescent="0.25">
      <c r="A20" s="5" t="str">
        <f>"Atrazine"</f>
        <v>Atrazine</v>
      </c>
      <c r="B20" s="1" t="s">
        <v>85</v>
      </c>
      <c r="C20" s="1" t="s">
        <v>49</v>
      </c>
      <c r="D20" s="1" t="s">
        <v>47</v>
      </c>
      <c r="E20" s="1">
        <v>5</v>
      </c>
      <c r="F20" s="1" t="s">
        <v>48</v>
      </c>
      <c r="G20" s="1" t="s">
        <v>86</v>
      </c>
      <c r="H20" s="6" t="s">
        <v>87</v>
      </c>
    </row>
    <row r="21" spans="1:8" ht="84.75" customHeight="1" x14ac:dyDescent="0.25">
      <c r="A21" s="5" t="str">
        <f>"Azafenidin"</f>
        <v>Azafenidin</v>
      </c>
      <c r="B21" s="1" t="s">
        <v>88</v>
      </c>
      <c r="C21" s="1" t="s">
        <v>26</v>
      </c>
      <c r="D21" s="1" t="s">
        <v>89</v>
      </c>
      <c r="E21" s="1">
        <v>14</v>
      </c>
      <c r="F21" s="1" t="s">
        <v>25</v>
      </c>
      <c r="G21" s="1" t="s">
        <v>90</v>
      </c>
      <c r="H21" s="6" t="s">
        <v>91</v>
      </c>
    </row>
    <row r="22" spans="1:8" ht="105.65" customHeight="1" x14ac:dyDescent="0.25">
      <c r="A22" s="5" t="str">
        <f>"Azimsulfuron"</f>
        <v>Azimsulfuron</v>
      </c>
      <c r="B22" s="1" t="s">
        <v>92</v>
      </c>
      <c r="C22" s="1" t="s">
        <v>56</v>
      </c>
      <c r="D22" s="1" t="s">
        <v>54</v>
      </c>
      <c r="E22" s="1">
        <v>2</v>
      </c>
      <c r="F22" s="1" t="s">
        <v>55</v>
      </c>
      <c r="G22" s="1" t="s">
        <v>93</v>
      </c>
      <c r="H22" s="6" t="s">
        <v>94</v>
      </c>
    </row>
    <row r="23" spans="1:8" ht="74.650000000000006" customHeight="1" x14ac:dyDescent="0.25">
      <c r="A23" s="5" t="str">
        <f>"Aziprotryne/Aziprotryn"</f>
        <v>Aziprotryne/Aziprotryn</v>
      </c>
      <c r="B23" s="1" t="s">
        <v>95</v>
      </c>
      <c r="C23" s="1" t="s">
        <v>82</v>
      </c>
      <c r="D23" s="1" t="s">
        <v>47</v>
      </c>
      <c r="E23" s="1">
        <v>5</v>
      </c>
      <c r="F23" s="1" t="s">
        <v>81</v>
      </c>
      <c r="G23" s="1" t="s">
        <v>96</v>
      </c>
      <c r="H23" s="6" t="s">
        <v>97</v>
      </c>
    </row>
    <row r="24" spans="1:8" ht="106.15" customHeight="1" x14ac:dyDescent="0.25">
      <c r="A24" s="5" t="str">
        <f>"Barban"</f>
        <v>Barban</v>
      </c>
      <c r="B24" s="1" t="s">
        <v>98</v>
      </c>
      <c r="C24" s="1" t="s">
        <v>1179</v>
      </c>
      <c r="D24" s="1" t="s">
        <v>99</v>
      </c>
      <c r="E24" s="1">
        <v>23</v>
      </c>
      <c r="F24" s="1" t="s">
        <v>100</v>
      </c>
      <c r="G24" s="1" t="s">
        <v>101</v>
      </c>
      <c r="H24" s="6" t="s">
        <v>102</v>
      </c>
    </row>
    <row r="25" spans="1:8" ht="106.15" customHeight="1" x14ac:dyDescent="0.25">
      <c r="A25" s="5" t="str">
        <f>"Beflubutamid"</f>
        <v>Beflubutamid</v>
      </c>
      <c r="B25" s="1" t="s">
        <v>103</v>
      </c>
      <c r="C25" s="1" t="s">
        <v>106</v>
      </c>
      <c r="D25" s="1" t="s">
        <v>104</v>
      </c>
      <c r="E25" s="1">
        <v>12</v>
      </c>
      <c r="F25" s="1" t="s">
        <v>105</v>
      </c>
      <c r="G25" s="1" t="s">
        <v>107</v>
      </c>
      <c r="H25" s="6" t="s">
        <v>108</v>
      </c>
    </row>
    <row r="26" spans="1:8" ht="105" customHeight="1" x14ac:dyDescent="0.25">
      <c r="A26" s="5" t="str">
        <f>"Benazolin-ethyl"</f>
        <v>Benazolin-ethyl</v>
      </c>
      <c r="B26" s="1" t="s">
        <v>109</v>
      </c>
      <c r="C26" s="1" t="s">
        <v>6</v>
      </c>
      <c r="D26" s="1" t="s">
        <v>30</v>
      </c>
      <c r="E26" s="1">
        <v>4</v>
      </c>
      <c r="F26" s="1" t="s">
        <v>5</v>
      </c>
      <c r="G26" s="1" t="s">
        <v>110</v>
      </c>
      <c r="H26" s="6" t="s">
        <v>111</v>
      </c>
    </row>
    <row r="27" spans="1:8" ht="106.15" customHeight="1" x14ac:dyDescent="0.25">
      <c r="A27" s="5" t="str">
        <f>"Benefin/Benfluralin"</f>
        <v>Benefin/Benfluralin</v>
      </c>
      <c r="B27" s="1" t="s">
        <v>112</v>
      </c>
      <c r="C27" s="1" t="s">
        <v>1180</v>
      </c>
      <c r="D27" s="1" t="s">
        <v>113</v>
      </c>
      <c r="E27" s="1">
        <v>3</v>
      </c>
      <c r="F27" s="1" t="s">
        <v>114</v>
      </c>
      <c r="G27" s="1" t="s">
        <v>115</v>
      </c>
      <c r="H27" s="6" t="s">
        <v>116</v>
      </c>
    </row>
    <row r="28" spans="1:8" ht="60.65" customHeight="1" x14ac:dyDescent="0.25">
      <c r="A28" s="5" t="str">
        <f>"Benfuresate"</f>
        <v>Benfuresate</v>
      </c>
      <c r="B28" s="1" t="s">
        <v>117</v>
      </c>
      <c r="C28" s="1" t="s">
        <v>20</v>
      </c>
      <c r="D28" s="1" t="s">
        <v>118</v>
      </c>
      <c r="E28" s="1">
        <v>15</v>
      </c>
      <c r="F28" s="1" t="s">
        <v>19</v>
      </c>
      <c r="G28" s="1" t="s">
        <v>119</v>
      </c>
      <c r="H28" s="6" t="s">
        <v>120</v>
      </c>
    </row>
    <row r="29" spans="1:8" ht="106.15" customHeight="1" x14ac:dyDescent="0.25">
      <c r="A29" s="5" t="str">
        <f>"Bensulfuron-methyl"</f>
        <v>Bensulfuron-methyl</v>
      </c>
      <c r="B29" s="1" t="s">
        <v>121</v>
      </c>
      <c r="C29" s="1" t="s">
        <v>56</v>
      </c>
      <c r="D29" s="1" t="s">
        <v>54</v>
      </c>
      <c r="E29" s="1">
        <v>2</v>
      </c>
      <c r="F29" s="1" t="s">
        <v>55</v>
      </c>
      <c r="G29" s="1" t="s">
        <v>122</v>
      </c>
      <c r="H29" s="6" t="s">
        <v>123</v>
      </c>
    </row>
    <row r="30" spans="1:8" ht="75.75" customHeight="1" x14ac:dyDescent="0.25">
      <c r="A30" s="5" t="str">
        <f>"Bensulide"</f>
        <v>Bensulide</v>
      </c>
      <c r="B30" s="1" t="s">
        <v>124</v>
      </c>
      <c r="C30" s="1" t="s">
        <v>68</v>
      </c>
      <c r="D30" s="1" t="s">
        <v>125</v>
      </c>
      <c r="E30" s="1">
        <v>0</v>
      </c>
      <c r="F30" s="1" t="s">
        <v>126</v>
      </c>
      <c r="G30" s="1" t="s">
        <v>127</v>
      </c>
      <c r="H30" s="6" t="s">
        <v>128</v>
      </c>
    </row>
    <row r="31" spans="1:8" ht="78" customHeight="1" x14ac:dyDescent="0.25">
      <c r="A31" s="5" t="str">
        <f>"Bentazon"</f>
        <v>Bentazon</v>
      </c>
      <c r="B31" s="1" t="s">
        <v>129</v>
      </c>
      <c r="C31" s="1" t="s">
        <v>131</v>
      </c>
      <c r="D31" s="1" t="s">
        <v>30</v>
      </c>
      <c r="E31" s="1">
        <v>6</v>
      </c>
      <c r="F31" s="1" t="s">
        <v>130</v>
      </c>
      <c r="G31" s="1" t="s">
        <v>132</v>
      </c>
      <c r="H31" s="6" t="s">
        <v>133</v>
      </c>
    </row>
    <row r="32" spans="1:8" ht="106.15" customHeight="1" x14ac:dyDescent="0.25">
      <c r="A32" s="5" t="str">
        <f>"Benzobicyclon"</f>
        <v>Benzobicyclon</v>
      </c>
      <c r="B32" s="1" t="s">
        <v>134</v>
      </c>
      <c r="C32" s="1" t="s">
        <v>137</v>
      </c>
      <c r="D32" s="1" t="s">
        <v>135</v>
      </c>
      <c r="E32" s="1">
        <v>27</v>
      </c>
      <c r="F32" s="1" t="s">
        <v>136</v>
      </c>
      <c r="G32" s="1" t="s">
        <v>138</v>
      </c>
      <c r="H32" s="6" t="s">
        <v>139</v>
      </c>
    </row>
    <row r="33" spans="1:8" ht="106.75" customHeight="1" x14ac:dyDescent="0.25">
      <c r="A33" s="5" t="str">
        <f>"Benzofenap"</f>
        <v>Benzofenap</v>
      </c>
      <c r="B33" s="1" t="s">
        <v>140</v>
      </c>
      <c r="C33" s="1" t="s">
        <v>137</v>
      </c>
      <c r="D33" s="1" t="s">
        <v>141</v>
      </c>
      <c r="E33" s="1">
        <v>27</v>
      </c>
      <c r="F33" s="1" t="s">
        <v>136</v>
      </c>
      <c r="G33" s="1" t="s">
        <v>142</v>
      </c>
      <c r="H33" s="6" t="s">
        <v>143</v>
      </c>
    </row>
    <row r="34" spans="1:8" ht="61.15" customHeight="1" x14ac:dyDescent="0.25">
      <c r="A34" s="5" t="str">
        <f>"Benzthiazuron"</f>
        <v>Benzthiazuron</v>
      </c>
      <c r="B34" s="1" t="s">
        <v>144</v>
      </c>
      <c r="C34" s="1" t="s">
        <v>82</v>
      </c>
      <c r="D34" s="1" t="s">
        <v>145</v>
      </c>
      <c r="E34" s="1">
        <v>5</v>
      </c>
      <c r="F34" s="1" t="s">
        <v>146</v>
      </c>
      <c r="G34" s="1" t="s">
        <v>147</v>
      </c>
      <c r="H34" s="6" t="s">
        <v>148</v>
      </c>
    </row>
    <row r="35" spans="1:8" ht="63.4" customHeight="1" x14ac:dyDescent="0.25">
      <c r="A35" s="5" t="str">
        <f>"Bialaphos/Bilanafos"</f>
        <v>Bialaphos/Bilanafos</v>
      </c>
      <c r="B35" s="1" t="s">
        <v>149</v>
      </c>
      <c r="C35" s="1" t="s">
        <v>152</v>
      </c>
      <c r="D35" s="1" t="s">
        <v>150</v>
      </c>
      <c r="E35" s="1">
        <v>10</v>
      </c>
      <c r="F35" s="1" t="s">
        <v>151</v>
      </c>
      <c r="G35" s="1" t="s">
        <v>153</v>
      </c>
      <c r="H35" s="6" t="s">
        <v>154</v>
      </c>
    </row>
    <row r="36" spans="1:8" ht="106.15" customHeight="1" x14ac:dyDescent="0.25">
      <c r="A36" s="5" t="str">
        <f>"Bicyclopyrone"</f>
        <v>Bicyclopyrone</v>
      </c>
      <c r="B36" s="1" t="s">
        <v>155</v>
      </c>
      <c r="C36" s="1" t="s">
        <v>137</v>
      </c>
      <c r="D36" s="1" t="s">
        <v>135</v>
      </c>
      <c r="E36" s="1">
        <v>27</v>
      </c>
      <c r="F36" s="1" t="s">
        <v>136</v>
      </c>
      <c r="G36" s="1" t="s">
        <v>156</v>
      </c>
      <c r="H36" s="6" t="s">
        <v>157</v>
      </c>
    </row>
    <row r="37" spans="1:8" ht="91.5" customHeight="1" x14ac:dyDescent="0.25">
      <c r="A37" s="5" t="str">
        <f>"Bifenox"</f>
        <v>Bifenox</v>
      </c>
      <c r="B37" s="1" t="s">
        <v>158</v>
      </c>
      <c r="C37" s="1" t="s">
        <v>26</v>
      </c>
      <c r="D37" s="1" t="s">
        <v>24</v>
      </c>
      <c r="E37" s="1">
        <v>14</v>
      </c>
      <c r="F37" s="1" t="s">
        <v>25</v>
      </c>
      <c r="G37" s="1" t="s">
        <v>159</v>
      </c>
      <c r="H37" s="6" t="s">
        <v>160</v>
      </c>
    </row>
    <row r="38" spans="1:8" ht="106.15" customHeight="1" x14ac:dyDescent="0.25">
      <c r="A38" s="5" t="str">
        <f>"Bispyribac-Na"</f>
        <v>Bispyribac-Na</v>
      </c>
      <c r="B38" s="1" t="s">
        <v>161</v>
      </c>
      <c r="C38" s="1" t="s">
        <v>56</v>
      </c>
      <c r="D38" s="1" t="s">
        <v>162</v>
      </c>
      <c r="E38" s="1">
        <v>2</v>
      </c>
      <c r="F38" s="1" t="s">
        <v>55</v>
      </c>
      <c r="G38" s="1" t="s">
        <v>163</v>
      </c>
      <c r="H38" s="6" t="s">
        <v>164</v>
      </c>
    </row>
    <row r="39" spans="1:8" ht="71.25" customHeight="1" x14ac:dyDescent="0.25">
      <c r="A39" s="5" t="str">
        <f>"Bixlozone"</f>
        <v>Bixlozone</v>
      </c>
      <c r="B39" s="1" t="s">
        <v>165</v>
      </c>
      <c r="C39" s="1" t="s">
        <v>168</v>
      </c>
      <c r="D39" s="1" t="s">
        <v>166</v>
      </c>
      <c r="E39" s="1">
        <v>13</v>
      </c>
      <c r="F39" s="1" t="s">
        <v>167</v>
      </c>
      <c r="H39" s="6"/>
    </row>
    <row r="40" spans="1:8" ht="87" customHeight="1" x14ac:dyDescent="0.25">
      <c r="A40" s="5" t="str">
        <f>"Bromacil"</f>
        <v>Bromacil</v>
      </c>
      <c r="B40" s="1" t="s">
        <v>169</v>
      </c>
      <c r="C40" s="1" t="s">
        <v>49</v>
      </c>
      <c r="D40" s="1" t="s">
        <v>170</v>
      </c>
      <c r="E40" s="1">
        <v>5</v>
      </c>
      <c r="F40" s="1" t="s">
        <v>48</v>
      </c>
      <c r="G40" s="1" t="s">
        <v>171</v>
      </c>
      <c r="H40" s="6" t="s">
        <v>172</v>
      </c>
    </row>
    <row r="41" spans="1:8" ht="67.900000000000006" customHeight="1" x14ac:dyDescent="0.25">
      <c r="A41" s="5" t="str">
        <f>"Bromobutide"</f>
        <v>Bromobutide</v>
      </c>
      <c r="B41" s="1" t="s">
        <v>173</v>
      </c>
      <c r="C41" s="1" t="s">
        <v>176</v>
      </c>
      <c r="D41" s="1" t="s">
        <v>174</v>
      </c>
      <c r="E41" s="1">
        <v>30</v>
      </c>
      <c r="F41" s="1" t="s">
        <v>175</v>
      </c>
      <c r="G41" s="1" t="s">
        <v>177</v>
      </c>
      <c r="H41" s="6" t="s">
        <v>178</v>
      </c>
    </row>
    <row r="42" spans="1:8" ht="96" customHeight="1" x14ac:dyDescent="0.25">
      <c r="A42" s="5" t="str">
        <f>"Bromofenoxim"</f>
        <v>Bromofenoxim</v>
      </c>
      <c r="B42" s="1" t="s">
        <v>179</v>
      </c>
      <c r="C42" s="1" t="s">
        <v>182</v>
      </c>
      <c r="D42" s="1" t="s">
        <v>180</v>
      </c>
      <c r="E42" s="1">
        <v>6</v>
      </c>
      <c r="F42" s="1" t="s">
        <v>181</v>
      </c>
      <c r="G42" s="1" t="s">
        <v>183</v>
      </c>
      <c r="H42" s="6" t="s">
        <v>184</v>
      </c>
    </row>
    <row r="43" spans="1:8" ht="79.150000000000006" customHeight="1" x14ac:dyDescent="0.25">
      <c r="A43" s="5" t="str">
        <f>"Bromoxynil"</f>
        <v>Bromoxynil</v>
      </c>
      <c r="B43" s="1" t="s">
        <v>185</v>
      </c>
      <c r="C43" s="1" t="s">
        <v>131</v>
      </c>
      <c r="D43" s="1" t="s">
        <v>180</v>
      </c>
      <c r="E43" s="1">
        <v>6</v>
      </c>
      <c r="F43" s="1" t="s">
        <v>130</v>
      </c>
      <c r="G43" s="1" t="s">
        <v>186</v>
      </c>
      <c r="H43" s="6" t="s">
        <v>187</v>
      </c>
    </row>
    <row r="44" spans="1:8" ht="75.75" customHeight="1" x14ac:dyDescent="0.25">
      <c r="A44" s="5" t="str">
        <f>"Brompyrazon"</f>
        <v>Brompyrazon</v>
      </c>
      <c r="B44" s="1" t="s">
        <v>188</v>
      </c>
      <c r="C44" s="1" t="s">
        <v>82</v>
      </c>
      <c r="D44" s="1" t="s">
        <v>189</v>
      </c>
      <c r="E44" s="1">
        <v>5</v>
      </c>
      <c r="F44" s="1" t="s">
        <v>81</v>
      </c>
      <c r="G44" s="1" t="s">
        <v>190</v>
      </c>
      <c r="H44" s="6" t="s">
        <v>191</v>
      </c>
    </row>
    <row r="45" spans="1:8" ht="67.400000000000006" customHeight="1" x14ac:dyDescent="0.25">
      <c r="A45" s="5" t="str">
        <f>"Bromuron"</f>
        <v>Bromuron</v>
      </c>
      <c r="B45" s="1" t="s">
        <v>192</v>
      </c>
      <c r="C45" s="1" t="s">
        <v>82</v>
      </c>
      <c r="D45" s="1" t="s">
        <v>145</v>
      </c>
      <c r="E45" s="1">
        <v>5</v>
      </c>
      <c r="F45" s="1" t="s">
        <v>146</v>
      </c>
      <c r="G45" s="1" t="s">
        <v>193</v>
      </c>
      <c r="H45" s="6"/>
    </row>
    <row r="46" spans="1:8" ht="106.15" customHeight="1" x14ac:dyDescent="0.25">
      <c r="A46" s="5" t="str">
        <f>"Butachlor"</f>
        <v>Butachlor</v>
      </c>
      <c r="B46" s="1" t="s">
        <v>194</v>
      </c>
      <c r="C46" s="1" t="s">
        <v>20</v>
      </c>
      <c r="D46" s="1" t="s">
        <v>18</v>
      </c>
      <c r="E46" s="1">
        <v>15</v>
      </c>
      <c r="F46" s="1" t="s">
        <v>19</v>
      </c>
      <c r="G46" s="1" t="s">
        <v>195</v>
      </c>
      <c r="H46" s="6" t="s">
        <v>196</v>
      </c>
    </row>
    <row r="47" spans="1:8" ht="97.75" customHeight="1" x14ac:dyDescent="0.25">
      <c r="A47" s="5" t="str">
        <f>"Butafenacil"</f>
        <v>Butafenacil</v>
      </c>
      <c r="B47" s="1" t="s">
        <v>197</v>
      </c>
      <c r="C47" s="1" t="s">
        <v>26</v>
      </c>
      <c r="D47" s="1" t="s">
        <v>198</v>
      </c>
      <c r="E47" s="1">
        <v>14</v>
      </c>
      <c r="F47" s="1" t="s">
        <v>25</v>
      </c>
      <c r="G47" s="1" t="s">
        <v>199</v>
      </c>
      <c r="H47" s="6" t="s">
        <v>200</v>
      </c>
    </row>
    <row r="48" spans="1:8" ht="93.25" customHeight="1" x14ac:dyDescent="0.25">
      <c r="A48" s="5" t="str">
        <f>"Butamifos"</f>
        <v>Butamifos</v>
      </c>
      <c r="B48" s="1" t="s">
        <v>201</v>
      </c>
      <c r="C48" s="1" t="s">
        <v>1180</v>
      </c>
      <c r="D48" s="1" t="s">
        <v>202</v>
      </c>
      <c r="E48" s="1">
        <v>3</v>
      </c>
      <c r="F48" s="1" t="s">
        <v>114</v>
      </c>
      <c r="G48" s="1" t="s">
        <v>203</v>
      </c>
      <c r="H48" s="6" t="s">
        <v>204</v>
      </c>
    </row>
    <row r="49" spans="1:8" ht="106.15" customHeight="1" x14ac:dyDescent="0.25">
      <c r="A49" s="5" t="str">
        <f>"Butenachlor"</f>
        <v>Butenachlor</v>
      </c>
      <c r="B49" s="1" t="s">
        <v>205</v>
      </c>
      <c r="C49" s="1" t="s">
        <v>20</v>
      </c>
      <c r="D49" s="1" t="s">
        <v>18</v>
      </c>
      <c r="E49" s="1">
        <v>15</v>
      </c>
      <c r="F49" s="1" t="s">
        <v>19</v>
      </c>
      <c r="G49" s="1" t="s">
        <v>206</v>
      </c>
      <c r="H49" s="6" t="s">
        <v>207</v>
      </c>
    </row>
    <row r="50" spans="1:8" ht="106.15" customHeight="1" x14ac:dyDescent="0.25">
      <c r="A50" s="5" t="str">
        <f>"Butralin"</f>
        <v>Butralin</v>
      </c>
      <c r="B50" s="1" t="s">
        <v>208</v>
      </c>
      <c r="C50" s="1" t="s">
        <v>1180</v>
      </c>
      <c r="D50" s="1" t="s">
        <v>113</v>
      </c>
      <c r="E50" s="1">
        <v>3</v>
      </c>
      <c r="F50" s="1" t="s">
        <v>114</v>
      </c>
      <c r="G50" s="1" t="s">
        <v>209</v>
      </c>
      <c r="H50" s="6" t="s">
        <v>210</v>
      </c>
    </row>
    <row r="51" spans="1:8" ht="106.15" customHeight="1" x14ac:dyDescent="0.25">
      <c r="A51" s="5" t="str">
        <f>"Butroxydim"</f>
        <v>Butroxydim</v>
      </c>
      <c r="B51" s="1" t="s">
        <v>211</v>
      </c>
      <c r="C51" s="1" t="s">
        <v>43</v>
      </c>
      <c r="D51" s="1" t="s">
        <v>41</v>
      </c>
      <c r="E51" s="1">
        <v>1</v>
      </c>
      <c r="F51" s="1" t="s">
        <v>42</v>
      </c>
      <c r="G51" s="1" t="s">
        <v>212</v>
      </c>
      <c r="H51" s="6" t="s">
        <v>213</v>
      </c>
    </row>
    <row r="52" spans="1:8" ht="67.900000000000006" customHeight="1" x14ac:dyDescent="0.25">
      <c r="A52" s="5" t="str">
        <f>"Buturon"</f>
        <v>Buturon</v>
      </c>
      <c r="B52" s="1" t="s">
        <v>214</v>
      </c>
      <c r="C52" s="1" t="s">
        <v>82</v>
      </c>
      <c r="D52" s="1" t="s">
        <v>145</v>
      </c>
      <c r="E52" s="1">
        <v>5</v>
      </c>
      <c r="F52" s="1" t="s">
        <v>146</v>
      </c>
      <c r="G52" s="1" t="s">
        <v>215</v>
      </c>
      <c r="H52" s="6" t="s">
        <v>216</v>
      </c>
    </row>
    <row r="53" spans="1:8" ht="87.65" customHeight="1" x14ac:dyDescent="0.25">
      <c r="A53" s="5" t="str">
        <f>"Butylate"</f>
        <v>Butylate</v>
      </c>
      <c r="B53" s="1" t="s">
        <v>217</v>
      </c>
      <c r="C53" s="1" t="s">
        <v>20</v>
      </c>
      <c r="D53" s="1" t="s">
        <v>218</v>
      </c>
      <c r="E53" s="1">
        <v>15</v>
      </c>
      <c r="F53" s="1" t="s">
        <v>219</v>
      </c>
      <c r="G53" s="1" t="s">
        <v>220</v>
      </c>
      <c r="H53" s="6" t="s">
        <v>221</v>
      </c>
    </row>
    <row r="54" spans="1:8" ht="69.650000000000006" customHeight="1" x14ac:dyDescent="0.25">
      <c r="A54" s="5" t="str">
        <f>"CAMA"</f>
        <v>CAMA</v>
      </c>
      <c r="B54" s="1" t="s">
        <v>222</v>
      </c>
      <c r="C54" s="1" t="s">
        <v>68</v>
      </c>
      <c r="E54" s="1">
        <v>0</v>
      </c>
      <c r="F54" s="1" t="s">
        <v>126</v>
      </c>
      <c r="H54" s="6"/>
    </row>
    <row r="55" spans="1:8" ht="75.25" customHeight="1" x14ac:dyDescent="0.25">
      <c r="A55" s="5" t="str">
        <f>"CP 17029"</f>
        <v>CP 17029</v>
      </c>
      <c r="B55" s="1" t="s">
        <v>223</v>
      </c>
      <c r="C55" s="1" t="s">
        <v>82</v>
      </c>
      <c r="D55" s="1" t="s">
        <v>47</v>
      </c>
      <c r="E55" s="1">
        <v>5</v>
      </c>
      <c r="F55" s="1" t="s">
        <v>81</v>
      </c>
      <c r="G55" s="1" t="s">
        <v>224</v>
      </c>
      <c r="H55" s="6"/>
    </row>
    <row r="56" spans="1:8" ht="52.15" customHeight="1" x14ac:dyDescent="0.25">
      <c r="A56" s="5" t="str">
        <f>"Cacodylic acid"</f>
        <v>Cacodylic acid</v>
      </c>
      <c r="B56" s="1" t="s">
        <v>225</v>
      </c>
      <c r="C56" s="1" t="s">
        <v>68</v>
      </c>
      <c r="E56" s="1">
        <v>0</v>
      </c>
      <c r="F56" s="1" t="s">
        <v>126</v>
      </c>
      <c r="H56" s="6"/>
    </row>
    <row r="57" spans="1:8" ht="100.5" customHeight="1" x14ac:dyDescent="0.25">
      <c r="A57" s="5" t="str">
        <f>"Cafenstrole"</f>
        <v>Cafenstrole</v>
      </c>
      <c r="B57" s="1" t="s">
        <v>226</v>
      </c>
      <c r="C57" s="1" t="s">
        <v>20</v>
      </c>
      <c r="D57" s="1" t="s">
        <v>227</v>
      </c>
      <c r="E57" s="1">
        <v>15</v>
      </c>
      <c r="F57" s="1" t="s">
        <v>19</v>
      </c>
      <c r="G57" s="1" t="s">
        <v>228</v>
      </c>
      <c r="H57" s="6" t="s">
        <v>229</v>
      </c>
    </row>
    <row r="58" spans="1:8" ht="106.15" customHeight="1" x14ac:dyDescent="0.25">
      <c r="A58" s="5" t="str">
        <f>"Carbetamide"</f>
        <v>Carbetamide</v>
      </c>
      <c r="B58" s="1" t="s">
        <v>230</v>
      </c>
      <c r="C58" s="1" t="s">
        <v>1179</v>
      </c>
      <c r="D58" s="1" t="s">
        <v>99</v>
      </c>
      <c r="E58" s="1">
        <v>23</v>
      </c>
      <c r="F58" s="1" t="s">
        <v>100</v>
      </c>
      <c r="G58" s="1" t="s">
        <v>231</v>
      </c>
      <c r="H58" s="6" t="s">
        <v>232</v>
      </c>
    </row>
    <row r="59" spans="1:8" ht="105.65" customHeight="1" x14ac:dyDescent="0.25">
      <c r="A59" s="5" t="str">
        <f>"Carfentrazone-ethyl"</f>
        <v>Carfentrazone-ethyl</v>
      </c>
      <c r="B59" s="1" t="s">
        <v>233</v>
      </c>
      <c r="C59" s="1" t="s">
        <v>26</v>
      </c>
      <c r="D59" s="1" t="s">
        <v>89</v>
      </c>
      <c r="E59" s="1">
        <v>14</v>
      </c>
      <c r="F59" s="1" t="s">
        <v>25</v>
      </c>
      <c r="G59" s="1" t="s">
        <v>234</v>
      </c>
      <c r="H59" s="6" t="s">
        <v>235</v>
      </c>
    </row>
    <row r="60" spans="1:8" ht="88.75" customHeight="1" x14ac:dyDescent="0.25">
      <c r="A60" s="5" t="str">
        <f>"Chlomethoxyfen"</f>
        <v>Chlomethoxyfen</v>
      </c>
      <c r="B60" s="1" t="s">
        <v>236</v>
      </c>
      <c r="C60" s="1" t="s">
        <v>26</v>
      </c>
      <c r="D60" s="1" t="s">
        <v>24</v>
      </c>
      <c r="E60" s="1">
        <v>14</v>
      </c>
      <c r="F60" s="1" t="s">
        <v>25</v>
      </c>
      <c r="G60" s="1" t="s">
        <v>237</v>
      </c>
      <c r="H60" s="6" t="s">
        <v>238</v>
      </c>
    </row>
    <row r="61" spans="1:8" ht="87" customHeight="1" x14ac:dyDescent="0.25">
      <c r="A61" s="5" t="str">
        <f>"Chloramben"</f>
        <v>Chloramben</v>
      </c>
      <c r="B61" s="1" t="s">
        <v>239</v>
      </c>
      <c r="C61" s="1" t="s">
        <v>6</v>
      </c>
      <c r="D61" s="1" t="s">
        <v>240</v>
      </c>
      <c r="E61" s="1">
        <v>4</v>
      </c>
      <c r="F61" s="1" t="s">
        <v>5</v>
      </c>
      <c r="G61" s="1" t="s">
        <v>241</v>
      </c>
      <c r="H61" s="6" t="s">
        <v>242</v>
      </c>
    </row>
    <row r="62" spans="1:8" ht="68.5" customHeight="1" x14ac:dyDescent="0.25">
      <c r="A62" s="5" t="str">
        <f>"Chloranocryl/Dicryl"</f>
        <v>Chloranocryl/Dicryl</v>
      </c>
      <c r="B62" s="1" t="s">
        <v>243</v>
      </c>
      <c r="C62" s="1" t="s">
        <v>49</v>
      </c>
      <c r="D62" s="1" t="s">
        <v>244</v>
      </c>
      <c r="E62" s="1">
        <v>5</v>
      </c>
      <c r="F62" s="1" t="s">
        <v>48</v>
      </c>
      <c r="G62" s="1" t="s">
        <v>245</v>
      </c>
      <c r="H62" s="6" t="s">
        <v>246</v>
      </c>
    </row>
    <row r="63" spans="1:8" ht="91" customHeight="1" x14ac:dyDescent="0.25">
      <c r="A63" s="5" t="str">
        <f>"Chlorazine"</f>
        <v>Chlorazine</v>
      </c>
      <c r="B63" s="1" t="s">
        <v>247</v>
      </c>
      <c r="C63" s="1" t="s">
        <v>82</v>
      </c>
      <c r="D63" s="1" t="s">
        <v>47</v>
      </c>
      <c r="E63" s="1">
        <v>5</v>
      </c>
      <c r="F63" s="1" t="s">
        <v>81</v>
      </c>
      <c r="G63" s="1" t="s">
        <v>248</v>
      </c>
      <c r="H63" s="6" t="s">
        <v>249</v>
      </c>
    </row>
    <row r="64" spans="1:8" ht="67.900000000000006" customHeight="1" x14ac:dyDescent="0.25">
      <c r="A64" s="5" t="str">
        <f>"Chlorbromuron"</f>
        <v>Chlorbromuron</v>
      </c>
      <c r="B64" s="1" t="s">
        <v>250</v>
      </c>
      <c r="C64" s="1" t="s">
        <v>82</v>
      </c>
      <c r="D64" s="1" t="s">
        <v>145</v>
      </c>
      <c r="E64" s="1">
        <v>5</v>
      </c>
      <c r="F64" s="1" t="s">
        <v>146</v>
      </c>
      <c r="G64" s="1" t="s">
        <v>251</v>
      </c>
      <c r="H64" s="6" t="s">
        <v>252</v>
      </c>
    </row>
    <row r="65" spans="1:8" ht="103.9" customHeight="1" x14ac:dyDescent="0.25">
      <c r="A65" s="5" t="str">
        <f>"Chlorbufam"</f>
        <v>Chlorbufam</v>
      </c>
      <c r="B65" s="1" t="s">
        <v>253</v>
      </c>
      <c r="C65" s="1" t="s">
        <v>1179</v>
      </c>
      <c r="D65" s="1" t="s">
        <v>99</v>
      </c>
      <c r="E65" s="1">
        <v>23</v>
      </c>
      <c r="F65" s="1" t="s">
        <v>100</v>
      </c>
      <c r="G65" s="1" t="s">
        <v>254</v>
      </c>
      <c r="H65" s="6" t="s">
        <v>255</v>
      </c>
    </row>
    <row r="66" spans="1:8" ht="71.900000000000006" customHeight="1" x14ac:dyDescent="0.25">
      <c r="A66" s="5" t="str">
        <f>"Chlorfenac/Fenac"</f>
        <v>Chlorfenac/Fenac</v>
      </c>
      <c r="B66" s="1" t="s">
        <v>256</v>
      </c>
      <c r="C66" s="1" t="s">
        <v>6</v>
      </c>
      <c r="D66" s="1" t="s">
        <v>2</v>
      </c>
      <c r="E66" s="1">
        <v>4</v>
      </c>
      <c r="F66" s="1" t="s">
        <v>5</v>
      </c>
      <c r="G66" s="1" t="s">
        <v>257</v>
      </c>
      <c r="H66" s="6" t="s">
        <v>258</v>
      </c>
    </row>
    <row r="67" spans="1:8" ht="69.650000000000006" customHeight="1" x14ac:dyDescent="0.25">
      <c r="A67" s="5" t="str">
        <f>"Chlorfenprop"</f>
        <v>Chlorfenprop</v>
      </c>
      <c r="B67" s="1" t="s">
        <v>259</v>
      </c>
      <c r="C67" s="1" t="s">
        <v>6</v>
      </c>
      <c r="D67" s="1" t="s">
        <v>2</v>
      </c>
      <c r="E67" s="1">
        <v>4</v>
      </c>
      <c r="F67" s="1" t="s">
        <v>5</v>
      </c>
      <c r="G67" s="1" t="s">
        <v>260</v>
      </c>
      <c r="H67" s="6" t="s">
        <v>261</v>
      </c>
    </row>
    <row r="68" spans="1:8" ht="75.75" customHeight="1" x14ac:dyDescent="0.25">
      <c r="A68" s="5" t="str">
        <f>"Chloridazon/Pyrazon"</f>
        <v>Chloridazon/Pyrazon</v>
      </c>
      <c r="B68" s="1" t="s">
        <v>262</v>
      </c>
      <c r="C68" s="1" t="s">
        <v>49</v>
      </c>
      <c r="D68" s="1" t="s">
        <v>30</v>
      </c>
      <c r="E68" s="1">
        <v>5</v>
      </c>
      <c r="F68" s="1" t="s">
        <v>48</v>
      </c>
      <c r="G68" s="1" t="s">
        <v>263</v>
      </c>
      <c r="H68" s="6" t="s">
        <v>264</v>
      </c>
    </row>
    <row r="69" spans="1:8" ht="105.65" customHeight="1" x14ac:dyDescent="0.25">
      <c r="A69" s="5" t="str">
        <f>"Chlorimuron-ethyl"</f>
        <v>Chlorimuron-ethyl</v>
      </c>
      <c r="B69" s="1" t="s">
        <v>265</v>
      </c>
      <c r="C69" s="1" t="s">
        <v>56</v>
      </c>
      <c r="D69" s="1" t="s">
        <v>54</v>
      </c>
      <c r="E69" s="1">
        <v>2</v>
      </c>
      <c r="F69" s="1" t="s">
        <v>55</v>
      </c>
      <c r="G69" s="1" t="s">
        <v>266</v>
      </c>
      <c r="H69" s="6" t="s">
        <v>267</v>
      </c>
    </row>
    <row r="70" spans="1:8" ht="89.25" customHeight="1" x14ac:dyDescent="0.25">
      <c r="A70" s="5" t="str">
        <f>"Chlornitrofen"</f>
        <v>Chlornitrofen</v>
      </c>
      <c r="B70" s="1" t="s">
        <v>268</v>
      </c>
      <c r="C70" s="1" t="s">
        <v>26</v>
      </c>
      <c r="D70" s="1" t="s">
        <v>24</v>
      </c>
      <c r="E70" s="1">
        <v>14</v>
      </c>
      <c r="F70" s="1" t="s">
        <v>25</v>
      </c>
      <c r="G70" s="1" t="s">
        <v>269</v>
      </c>
      <c r="H70" s="6" t="s">
        <v>270</v>
      </c>
    </row>
    <row r="71" spans="1:8" ht="64" customHeight="1" x14ac:dyDescent="0.25">
      <c r="A71" s="5" t="str">
        <f>"Chlorotoluron"</f>
        <v>Chlorotoluron</v>
      </c>
      <c r="B71" s="1" t="s">
        <v>271</v>
      </c>
      <c r="C71" s="1" t="s">
        <v>49</v>
      </c>
      <c r="D71" s="1" t="s">
        <v>145</v>
      </c>
      <c r="E71" s="1">
        <v>5</v>
      </c>
      <c r="F71" s="1" t="s">
        <v>48</v>
      </c>
      <c r="G71" s="1" t="s">
        <v>272</v>
      </c>
      <c r="H71" s="6" t="s">
        <v>273</v>
      </c>
    </row>
    <row r="72" spans="1:8" ht="67.900000000000006" customHeight="1" x14ac:dyDescent="0.25">
      <c r="A72" s="5" t="str">
        <f>"Chloroxuron"</f>
        <v>Chloroxuron</v>
      </c>
      <c r="B72" s="1" t="s">
        <v>274</v>
      </c>
      <c r="C72" s="1" t="s">
        <v>82</v>
      </c>
      <c r="D72" s="1" t="s">
        <v>145</v>
      </c>
      <c r="E72" s="1">
        <v>5</v>
      </c>
      <c r="F72" s="1" t="s">
        <v>146</v>
      </c>
      <c r="G72" s="1" t="s">
        <v>275</v>
      </c>
      <c r="H72" s="6" t="s">
        <v>276</v>
      </c>
    </row>
    <row r="73" spans="1:8" ht="83.15" customHeight="1" x14ac:dyDescent="0.25">
      <c r="A73" s="5" t="str">
        <f>"Chlorphthalim"</f>
        <v>Chlorphthalim</v>
      </c>
      <c r="B73" s="1" t="s">
        <v>277</v>
      </c>
      <c r="C73" s="1" t="s">
        <v>26</v>
      </c>
      <c r="D73" s="1" t="s">
        <v>198</v>
      </c>
      <c r="E73" s="1">
        <v>14</v>
      </c>
      <c r="F73" s="1" t="s">
        <v>25</v>
      </c>
      <c r="G73" s="1" t="s">
        <v>278</v>
      </c>
      <c r="H73" s="6" t="s">
        <v>279</v>
      </c>
    </row>
    <row r="74" spans="1:8" ht="56.15" customHeight="1" x14ac:dyDescent="0.25">
      <c r="A74" s="5" t="str">
        <f>"Chlorprocarb"</f>
        <v>Chlorprocarb</v>
      </c>
      <c r="B74" s="1" t="s">
        <v>280</v>
      </c>
      <c r="C74" s="1" t="s">
        <v>82</v>
      </c>
      <c r="D74" s="1" t="s">
        <v>281</v>
      </c>
      <c r="E74" s="1">
        <v>5</v>
      </c>
      <c r="F74" s="1" t="s">
        <v>81</v>
      </c>
      <c r="G74" s="1" t="s">
        <v>282</v>
      </c>
      <c r="H74" s="6" t="s">
        <v>283</v>
      </c>
    </row>
    <row r="75" spans="1:8" ht="96" customHeight="1" x14ac:dyDescent="0.25">
      <c r="A75" s="5" t="str">
        <f>"Chlorpropham"</f>
        <v>Chlorpropham</v>
      </c>
      <c r="B75" s="1" t="s">
        <v>284</v>
      </c>
      <c r="C75" s="1" t="s">
        <v>1179</v>
      </c>
      <c r="D75" s="1" t="s">
        <v>99</v>
      </c>
      <c r="E75" s="1">
        <v>23</v>
      </c>
      <c r="F75" s="1" t="s">
        <v>100</v>
      </c>
      <c r="G75" s="1" t="s">
        <v>285</v>
      </c>
      <c r="H75" s="6" t="s">
        <v>286</v>
      </c>
    </row>
    <row r="76" spans="1:8" ht="105.65" customHeight="1" x14ac:dyDescent="0.25">
      <c r="A76" s="5" t="str">
        <f>"Chlorsulfuron"</f>
        <v>Chlorsulfuron</v>
      </c>
      <c r="B76" s="1" t="s">
        <v>287</v>
      </c>
      <c r="C76" s="1" t="s">
        <v>56</v>
      </c>
      <c r="D76" s="1" t="s">
        <v>54</v>
      </c>
      <c r="E76" s="1">
        <v>2</v>
      </c>
      <c r="F76" s="1" t="s">
        <v>55</v>
      </c>
      <c r="G76" s="1" t="s">
        <v>288</v>
      </c>
      <c r="H76" s="6" t="s">
        <v>289</v>
      </c>
    </row>
    <row r="77" spans="1:8" ht="91.5" customHeight="1" x14ac:dyDescent="0.25">
      <c r="A77" s="5" t="str">
        <f>"Chlorthal-dimethyl/DCPA"</f>
        <v>Chlorthal-dimethyl/DCPA</v>
      </c>
      <c r="B77" s="1" t="s">
        <v>290</v>
      </c>
      <c r="C77" s="1" t="s">
        <v>1180</v>
      </c>
      <c r="D77" s="1" t="s">
        <v>30</v>
      </c>
      <c r="E77" s="1">
        <v>3</v>
      </c>
      <c r="F77" s="1" t="s">
        <v>114</v>
      </c>
      <c r="G77" s="1" t="s">
        <v>291</v>
      </c>
      <c r="H77" s="6" t="s">
        <v>292</v>
      </c>
    </row>
    <row r="78" spans="1:8" ht="71.25" customHeight="1" x14ac:dyDescent="0.25">
      <c r="A78" s="5" t="str">
        <f>"Chlorthiamid"</f>
        <v>Chlorthiamid</v>
      </c>
      <c r="B78" s="1" t="s">
        <v>293</v>
      </c>
      <c r="C78" s="1" t="s">
        <v>295</v>
      </c>
      <c r="D78" s="1" t="s">
        <v>180</v>
      </c>
      <c r="E78" s="1">
        <v>29</v>
      </c>
      <c r="F78" s="1" t="s">
        <v>294</v>
      </c>
      <c r="G78" s="1" t="s">
        <v>296</v>
      </c>
      <c r="H78" s="6" t="s">
        <v>297</v>
      </c>
    </row>
    <row r="79" spans="1:8" ht="106.15" customHeight="1" x14ac:dyDescent="0.25">
      <c r="A79" s="5" t="str">
        <f>"Cinidon-ethyl"</f>
        <v>Cinidon-ethyl</v>
      </c>
      <c r="B79" s="1" t="s">
        <v>298</v>
      </c>
      <c r="C79" s="1" t="s">
        <v>26</v>
      </c>
      <c r="D79" s="1" t="s">
        <v>198</v>
      </c>
      <c r="E79" s="1">
        <v>14</v>
      </c>
      <c r="F79" s="1" t="s">
        <v>25</v>
      </c>
      <c r="G79" s="1" t="s">
        <v>299</v>
      </c>
      <c r="H79" s="6" t="s">
        <v>300</v>
      </c>
    </row>
    <row r="80" spans="1:8" ht="96" customHeight="1" x14ac:dyDescent="0.25">
      <c r="A80" s="5" t="str">
        <f>"Cinmethylin"</f>
        <v>Cinmethylin</v>
      </c>
      <c r="B80" s="1" t="s">
        <v>301</v>
      </c>
      <c r="C80" s="1" t="s">
        <v>176</v>
      </c>
      <c r="D80" s="1" t="s">
        <v>302</v>
      </c>
      <c r="E80" s="1">
        <v>30</v>
      </c>
      <c r="F80" s="1" t="s">
        <v>175</v>
      </c>
      <c r="G80" s="1" t="s">
        <v>303</v>
      </c>
      <c r="H80" s="6" t="s">
        <v>304</v>
      </c>
    </row>
    <row r="81" spans="1:8" ht="105.65" customHeight="1" x14ac:dyDescent="0.25">
      <c r="A81" s="5" t="str">
        <f>"Cinosulfuron"</f>
        <v>Cinosulfuron</v>
      </c>
      <c r="B81" s="1" t="s">
        <v>305</v>
      </c>
      <c r="C81" s="1" t="s">
        <v>56</v>
      </c>
      <c r="D81" s="1" t="s">
        <v>54</v>
      </c>
      <c r="E81" s="1">
        <v>2</v>
      </c>
      <c r="F81" s="1" t="s">
        <v>55</v>
      </c>
      <c r="G81" s="1" t="s">
        <v>306</v>
      </c>
      <c r="H81" s="6" t="s">
        <v>307</v>
      </c>
    </row>
    <row r="82" spans="1:8" ht="106.15" customHeight="1" x14ac:dyDescent="0.25">
      <c r="A82" s="5" t="str">
        <f>"Clethodim"</f>
        <v>Clethodim</v>
      </c>
      <c r="B82" s="1" t="s">
        <v>308</v>
      </c>
      <c r="C82" s="1" t="s">
        <v>43</v>
      </c>
      <c r="D82" s="1" t="s">
        <v>41</v>
      </c>
      <c r="E82" s="1">
        <v>1</v>
      </c>
      <c r="F82" s="1" t="s">
        <v>42</v>
      </c>
      <c r="G82" s="1" t="s">
        <v>309</v>
      </c>
      <c r="H82" s="6" t="s">
        <v>310</v>
      </c>
    </row>
    <row r="83" spans="1:8" ht="106.15" customHeight="1" x14ac:dyDescent="0.25">
      <c r="A83" s="5" t="str">
        <f>"Clodinafop-propargyl"</f>
        <v>Clodinafop-propargyl</v>
      </c>
      <c r="B83" s="1" t="s">
        <v>311</v>
      </c>
      <c r="C83" s="1" t="s">
        <v>43</v>
      </c>
      <c r="D83" s="1" t="s">
        <v>312</v>
      </c>
      <c r="E83" s="1">
        <v>1</v>
      </c>
      <c r="F83" s="1" t="s">
        <v>42</v>
      </c>
      <c r="G83" s="1" t="s">
        <v>313</v>
      </c>
      <c r="H83" s="6" t="s">
        <v>314</v>
      </c>
    </row>
    <row r="84" spans="1:8" ht="93.75" customHeight="1" x14ac:dyDescent="0.25">
      <c r="A84" s="5" t="str">
        <f>"Clofop"</f>
        <v>Clofop</v>
      </c>
      <c r="B84" s="1" t="s">
        <v>315</v>
      </c>
      <c r="C84" s="1" t="s">
        <v>43</v>
      </c>
      <c r="D84" s="1" t="s">
        <v>312</v>
      </c>
      <c r="E84" s="1">
        <v>1</v>
      </c>
      <c r="F84" s="1" t="s">
        <v>42</v>
      </c>
      <c r="G84" s="1" t="s">
        <v>316</v>
      </c>
      <c r="H84" s="6" t="s">
        <v>317</v>
      </c>
    </row>
    <row r="85" spans="1:8" ht="67.900000000000006" customHeight="1" x14ac:dyDescent="0.25">
      <c r="A85" s="5" t="str">
        <f>"Clomazone"</f>
        <v>Clomazone</v>
      </c>
      <c r="B85" s="1" t="s">
        <v>318</v>
      </c>
      <c r="C85" s="1" t="s">
        <v>168</v>
      </c>
      <c r="D85" s="1" t="s">
        <v>166</v>
      </c>
      <c r="E85" s="1">
        <v>13</v>
      </c>
      <c r="F85" s="1" t="s">
        <v>167</v>
      </c>
      <c r="G85" s="1" t="s">
        <v>319</v>
      </c>
      <c r="H85" s="6" t="s">
        <v>320</v>
      </c>
    </row>
    <row r="86" spans="1:8" ht="106.15" customHeight="1" x14ac:dyDescent="0.25">
      <c r="A86" s="5" t="str">
        <f>"Clomeprop"</f>
        <v>Clomeprop</v>
      </c>
      <c r="B86" s="1" t="s">
        <v>321</v>
      </c>
      <c r="C86" s="1" t="s">
        <v>6</v>
      </c>
      <c r="D86" s="1" t="s">
        <v>2</v>
      </c>
      <c r="E86" s="1">
        <v>4</v>
      </c>
      <c r="F86" s="1" t="s">
        <v>5</v>
      </c>
      <c r="G86" s="1" t="s">
        <v>322</v>
      </c>
      <c r="H86" s="6" t="s">
        <v>323</v>
      </c>
    </row>
    <row r="87" spans="1:8" ht="106.15" customHeight="1" x14ac:dyDescent="0.25">
      <c r="A87" s="5" t="str">
        <f>"Cloproxydim"</f>
        <v>Cloproxydim</v>
      </c>
      <c r="B87" s="1" t="s">
        <v>324</v>
      </c>
      <c r="C87" s="1" t="s">
        <v>43</v>
      </c>
      <c r="D87" s="1" t="s">
        <v>41</v>
      </c>
      <c r="E87" s="1">
        <v>1</v>
      </c>
      <c r="F87" s="1" t="s">
        <v>42</v>
      </c>
      <c r="G87" s="1" t="s">
        <v>325</v>
      </c>
      <c r="H87" s="6" t="s">
        <v>326</v>
      </c>
    </row>
    <row r="88" spans="1:8" ht="71.25" customHeight="1" x14ac:dyDescent="0.25">
      <c r="A88" s="5" t="str">
        <f>"Clopyralid"</f>
        <v>Clopyralid</v>
      </c>
      <c r="B88" s="1" t="s">
        <v>327</v>
      </c>
      <c r="C88" s="1" t="s">
        <v>6</v>
      </c>
      <c r="D88" s="1" t="s">
        <v>63</v>
      </c>
      <c r="E88" s="1">
        <v>4</v>
      </c>
      <c r="F88" s="1" t="s">
        <v>5</v>
      </c>
      <c r="G88" s="1" t="s">
        <v>328</v>
      </c>
      <c r="H88" s="6" t="s">
        <v>329</v>
      </c>
    </row>
    <row r="89" spans="1:8" ht="106.15" customHeight="1" x14ac:dyDescent="0.25">
      <c r="A89" s="5" t="str">
        <f>"Cloransulam-methyl"</f>
        <v>Cloransulam-methyl</v>
      </c>
      <c r="B89" s="1" t="s">
        <v>330</v>
      </c>
      <c r="C89" s="1" t="s">
        <v>56</v>
      </c>
      <c r="D89" s="1" t="s">
        <v>331</v>
      </c>
      <c r="E89" s="1">
        <v>2</v>
      </c>
      <c r="F89" s="1" t="s">
        <v>55</v>
      </c>
      <c r="G89" s="1" t="s">
        <v>332</v>
      </c>
      <c r="H89" s="6" t="s">
        <v>333</v>
      </c>
    </row>
    <row r="90" spans="1:8" ht="68.5" customHeight="1" x14ac:dyDescent="0.25">
      <c r="A90" s="5" t="str">
        <f>"Cumyluron"</f>
        <v>Cumyluron</v>
      </c>
      <c r="B90" s="1" t="s">
        <v>334</v>
      </c>
      <c r="C90" s="1" t="s">
        <v>176</v>
      </c>
      <c r="D90" s="1" t="s">
        <v>174</v>
      </c>
      <c r="E90" s="1">
        <v>30</v>
      </c>
      <c r="F90" s="1" t="s">
        <v>175</v>
      </c>
      <c r="G90" s="1" t="s">
        <v>335</v>
      </c>
      <c r="H90" s="6" t="s">
        <v>336</v>
      </c>
    </row>
    <row r="91" spans="1:8" ht="73.5" customHeight="1" x14ac:dyDescent="0.25">
      <c r="A91" s="5" t="str">
        <f>"Cyanazine"</f>
        <v>Cyanazine</v>
      </c>
      <c r="B91" s="1" t="s">
        <v>337</v>
      </c>
      <c r="C91" s="1" t="s">
        <v>49</v>
      </c>
      <c r="D91" s="1" t="s">
        <v>47</v>
      </c>
      <c r="E91" s="1">
        <v>5</v>
      </c>
      <c r="F91" s="1" t="s">
        <v>48</v>
      </c>
      <c r="G91" s="1" t="s">
        <v>338</v>
      </c>
      <c r="H91" s="6" t="s">
        <v>339</v>
      </c>
    </row>
    <row r="92" spans="1:8" ht="72.400000000000006" customHeight="1" x14ac:dyDescent="0.25">
      <c r="A92" s="5" t="str">
        <f>"Cycloate"</f>
        <v>Cycloate</v>
      </c>
      <c r="B92" s="1" t="s">
        <v>340</v>
      </c>
      <c r="C92" s="1" t="s">
        <v>20</v>
      </c>
      <c r="D92" s="1" t="s">
        <v>218</v>
      </c>
      <c r="E92" s="1">
        <v>15</v>
      </c>
      <c r="F92" s="1" t="s">
        <v>19</v>
      </c>
      <c r="G92" s="1" t="s">
        <v>341</v>
      </c>
      <c r="H92" s="6" t="s">
        <v>342</v>
      </c>
    </row>
    <row r="93" spans="1:8" ht="106.15" customHeight="1" x14ac:dyDescent="0.25">
      <c r="A93" s="5" t="str">
        <f>"Cyclopyrimorate"</f>
        <v>Cyclopyrimorate</v>
      </c>
      <c r="B93" s="1" t="s">
        <v>343</v>
      </c>
      <c r="C93" s="1" t="s">
        <v>345</v>
      </c>
      <c r="D93" s="1" t="s">
        <v>30</v>
      </c>
      <c r="E93" s="1">
        <v>33</v>
      </c>
      <c r="F93" s="1" t="s">
        <v>344</v>
      </c>
      <c r="G93" s="1" t="s">
        <v>346</v>
      </c>
      <c r="H93" s="6" t="s">
        <v>347</v>
      </c>
    </row>
    <row r="94" spans="1:8" ht="106.15" customHeight="1" x14ac:dyDescent="0.25">
      <c r="A94" s="5" t="str">
        <f>"Cyclosulfamuron"</f>
        <v>Cyclosulfamuron</v>
      </c>
      <c r="B94" s="1" t="s">
        <v>348</v>
      </c>
      <c r="C94" s="1" t="s">
        <v>56</v>
      </c>
      <c r="D94" s="1" t="s">
        <v>54</v>
      </c>
      <c r="E94" s="1">
        <v>2</v>
      </c>
      <c r="F94" s="1" t="s">
        <v>55</v>
      </c>
      <c r="G94" s="1" t="s">
        <v>349</v>
      </c>
      <c r="H94" s="6" t="s">
        <v>350</v>
      </c>
    </row>
    <row r="95" spans="1:8" ht="106.15" customHeight="1" x14ac:dyDescent="0.25">
      <c r="A95" s="5" t="str">
        <f>"Cycloxydim"</f>
        <v>Cycloxydim</v>
      </c>
      <c r="B95" s="1" t="s">
        <v>351</v>
      </c>
      <c r="C95" s="1" t="s">
        <v>43</v>
      </c>
      <c r="D95" s="1" t="s">
        <v>41</v>
      </c>
      <c r="E95" s="1">
        <v>1</v>
      </c>
      <c r="F95" s="1" t="s">
        <v>42</v>
      </c>
      <c r="G95" s="1" t="s">
        <v>352</v>
      </c>
      <c r="H95" s="6" t="s">
        <v>353</v>
      </c>
    </row>
    <row r="96" spans="1:8" ht="106.15" customHeight="1" x14ac:dyDescent="0.25">
      <c r="A96" s="5" t="str">
        <f>"Cyhalofop-butyl"</f>
        <v>Cyhalofop-butyl</v>
      </c>
      <c r="B96" s="1" t="s">
        <v>354</v>
      </c>
      <c r="C96" s="1" t="s">
        <v>43</v>
      </c>
      <c r="D96" s="1" t="s">
        <v>312</v>
      </c>
      <c r="E96" s="1">
        <v>1</v>
      </c>
      <c r="F96" s="1" t="s">
        <v>42</v>
      </c>
      <c r="G96" s="1" t="s">
        <v>355</v>
      </c>
      <c r="H96" s="6" t="s">
        <v>356</v>
      </c>
    </row>
    <row r="97" spans="1:8" ht="73" customHeight="1" x14ac:dyDescent="0.25">
      <c r="A97" s="5" t="str">
        <f>"Cyperquat"</f>
        <v>Cyperquat</v>
      </c>
      <c r="B97" s="1" t="s">
        <v>357</v>
      </c>
      <c r="C97" s="1" t="s">
        <v>360</v>
      </c>
      <c r="D97" s="1" t="s">
        <v>358</v>
      </c>
      <c r="E97" s="1">
        <v>22</v>
      </c>
      <c r="F97" s="1" t="s">
        <v>359</v>
      </c>
      <c r="G97" s="1" t="s">
        <v>361</v>
      </c>
      <c r="H97" s="6" t="s">
        <v>362</v>
      </c>
    </row>
    <row r="98" spans="1:8" ht="70.75" customHeight="1" x14ac:dyDescent="0.25">
      <c r="A98" s="5" t="str">
        <f>"Cyprazine"</f>
        <v>Cyprazine</v>
      </c>
      <c r="B98" s="1" t="s">
        <v>363</v>
      </c>
      <c r="C98" s="1" t="s">
        <v>82</v>
      </c>
      <c r="D98" s="1" t="s">
        <v>47</v>
      </c>
      <c r="E98" s="1">
        <v>5</v>
      </c>
      <c r="F98" s="1" t="s">
        <v>81</v>
      </c>
      <c r="G98" s="1" t="s">
        <v>364</v>
      </c>
      <c r="H98" s="6" t="s">
        <v>365</v>
      </c>
    </row>
    <row r="99" spans="1:8" ht="71.25" customHeight="1" x14ac:dyDescent="0.25">
      <c r="A99" s="5" t="str">
        <f>"DMPA"</f>
        <v>DMPA</v>
      </c>
      <c r="B99" s="1" t="s">
        <v>366</v>
      </c>
      <c r="C99" s="1" t="s">
        <v>1180</v>
      </c>
      <c r="D99" s="1" t="s">
        <v>202</v>
      </c>
      <c r="E99" s="1">
        <v>3</v>
      </c>
      <c r="F99" s="1" t="s">
        <v>114</v>
      </c>
      <c r="G99" s="1" t="s">
        <v>367</v>
      </c>
      <c r="H99" s="6" t="s">
        <v>368</v>
      </c>
    </row>
    <row r="100" spans="1:8" ht="95.5" customHeight="1" x14ac:dyDescent="0.25">
      <c r="A100" s="5" t="str">
        <f>"DNOC"</f>
        <v>DNOC</v>
      </c>
      <c r="B100" s="1" t="s">
        <v>369</v>
      </c>
      <c r="C100" s="1" t="s">
        <v>372</v>
      </c>
      <c r="D100" s="1" t="s">
        <v>370</v>
      </c>
      <c r="E100" s="1">
        <v>24</v>
      </c>
      <c r="F100" s="1" t="s">
        <v>371</v>
      </c>
      <c r="G100" s="1" t="s">
        <v>373</v>
      </c>
      <c r="H100" s="6" t="s">
        <v>374</v>
      </c>
    </row>
    <row r="101" spans="1:8" ht="51" customHeight="1" x14ac:dyDescent="0.25">
      <c r="A101" s="5" t="str">
        <f>"DSMA"</f>
        <v>DSMA</v>
      </c>
      <c r="B101" s="1" t="s">
        <v>375</v>
      </c>
      <c r="C101" s="1" t="s">
        <v>68</v>
      </c>
      <c r="E101" s="1">
        <v>0</v>
      </c>
      <c r="F101" s="1" t="s">
        <v>126</v>
      </c>
      <c r="G101" s="1" t="s">
        <v>376</v>
      </c>
      <c r="H101" s="6" t="s">
        <v>377</v>
      </c>
    </row>
    <row r="102" spans="1:8" ht="57.75" customHeight="1" x14ac:dyDescent="0.25">
      <c r="A102" s="5" t="str">
        <f>"Dalapon"</f>
        <v>Dalapon</v>
      </c>
      <c r="B102" s="1" t="s">
        <v>378</v>
      </c>
      <c r="C102" s="1" t="s">
        <v>68</v>
      </c>
      <c r="D102" s="1" t="s">
        <v>379</v>
      </c>
      <c r="E102" s="1">
        <v>0</v>
      </c>
      <c r="F102" s="1" t="s">
        <v>380</v>
      </c>
      <c r="G102" s="1" t="s">
        <v>381</v>
      </c>
      <c r="H102" s="6" t="s">
        <v>382</v>
      </c>
    </row>
    <row r="103" spans="1:8" ht="106.15" customHeight="1" x14ac:dyDescent="0.25">
      <c r="A103" s="5" t="str">
        <f>"Delachlor"</f>
        <v>Delachlor</v>
      </c>
      <c r="B103" s="1" t="s">
        <v>383</v>
      </c>
      <c r="C103" s="1" t="s">
        <v>20</v>
      </c>
      <c r="D103" s="1" t="s">
        <v>18</v>
      </c>
      <c r="E103" s="1">
        <v>15</v>
      </c>
      <c r="F103" s="1" t="s">
        <v>19</v>
      </c>
      <c r="G103" s="1" t="s">
        <v>384</v>
      </c>
      <c r="H103" s="6" t="s">
        <v>385</v>
      </c>
    </row>
    <row r="104" spans="1:8" ht="52.15" customHeight="1" x14ac:dyDescent="0.25">
      <c r="A104" s="5" t="str">
        <f>"Desmedipham"</f>
        <v>Desmedipham</v>
      </c>
      <c r="B104" s="1" t="s">
        <v>386</v>
      </c>
      <c r="C104" s="1" t="s">
        <v>49</v>
      </c>
      <c r="D104" s="1" t="s">
        <v>387</v>
      </c>
      <c r="E104" s="1">
        <v>5</v>
      </c>
      <c r="F104" s="1" t="s">
        <v>48</v>
      </c>
      <c r="G104" s="1" t="s">
        <v>388</v>
      </c>
      <c r="H104" s="6" t="s">
        <v>389</v>
      </c>
    </row>
    <row r="105" spans="1:8" ht="75.25" customHeight="1" x14ac:dyDescent="0.25">
      <c r="A105" s="5" t="str">
        <f>"Desmetryne"</f>
        <v>Desmetryne</v>
      </c>
      <c r="B105" s="1" t="s">
        <v>390</v>
      </c>
      <c r="C105" s="1" t="s">
        <v>82</v>
      </c>
      <c r="D105" s="1" t="s">
        <v>47</v>
      </c>
      <c r="E105" s="1">
        <v>5</v>
      </c>
      <c r="F105" s="1" t="s">
        <v>81</v>
      </c>
      <c r="G105" s="1" t="s">
        <v>391</v>
      </c>
      <c r="H105" s="6" t="s">
        <v>392</v>
      </c>
    </row>
    <row r="106" spans="1:8" ht="75.75" customHeight="1" x14ac:dyDescent="0.25">
      <c r="A106" s="5" t="str">
        <f>"Dicamba"</f>
        <v>Dicamba</v>
      </c>
      <c r="B106" s="1" t="s">
        <v>393</v>
      </c>
      <c r="C106" s="1" t="s">
        <v>6</v>
      </c>
      <c r="D106" s="1" t="s">
        <v>240</v>
      </c>
      <c r="E106" s="1">
        <v>4</v>
      </c>
      <c r="F106" s="1" t="s">
        <v>5</v>
      </c>
      <c r="G106" s="1" t="s">
        <v>394</v>
      </c>
      <c r="H106" s="6" t="s">
        <v>395</v>
      </c>
    </row>
    <row r="107" spans="1:8" ht="71.25" customHeight="1" x14ac:dyDescent="0.25">
      <c r="A107" s="5" t="str">
        <f>"Dichlobenil"</f>
        <v>Dichlobenil</v>
      </c>
      <c r="B107" s="1" t="s">
        <v>396</v>
      </c>
      <c r="C107" s="1" t="s">
        <v>295</v>
      </c>
      <c r="D107" s="1" t="s">
        <v>180</v>
      </c>
      <c r="E107" s="1">
        <v>29</v>
      </c>
      <c r="F107" s="1" t="s">
        <v>294</v>
      </c>
      <c r="G107" s="1" t="s">
        <v>397</v>
      </c>
      <c r="H107" s="6" t="s">
        <v>398</v>
      </c>
    </row>
    <row r="108" spans="1:8" ht="71.25" customHeight="1" x14ac:dyDescent="0.25">
      <c r="A108" s="5" t="str">
        <f>"Dichlorprop"</f>
        <v>Dichlorprop</v>
      </c>
      <c r="B108" s="1" t="s">
        <v>399</v>
      </c>
      <c r="C108" s="1" t="s">
        <v>6</v>
      </c>
      <c r="D108" s="1" t="s">
        <v>2</v>
      </c>
      <c r="E108" s="1">
        <v>4</v>
      </c>
      <c r="F108" s="1" t="s">
        <v>5</v>
      </c>
      <c r="G108" s="1" t="s">
        <v>400</v>
      </c>
      <c r="H108" s="6" t="s">
        <v>401</v>
      </c>
    </row>
    <row r="109" spans="1:8" ht="106.15" customHeight="1" x14ac:dyDescent="0.25">
      <c r="A109" s="5" t="str">
        <f>"Diclofop-methyl"</f>
        <v>Diclofop-methyl</v>
      </c>
      <c r="B109" s="1" t="s">
        <v>402</v>
      </c>
      <c r="C109" s="1" t="s">
        <v>43</v>
      </c>
      <c r="D109" s="1" t="s">
        <v>312</v>
      </c>
      <c r="E109" s="1">
        <v>1</v>
      </c>
      <c r="F109" s="1" t="s">
        <v>42</v>
      </c>
      <c r="G109" s="1" t="s">
        <v>403</v>
      </c>
      <c r="H109" s="6" t="s">
        <v>404</v>
      </c>
    </row>
    <row r="110" spans="1:8" ht="106.15" customHeight="1" x14ac:dyDescent="0.25">
      <c r="A110" s="5" t="str">
        <f>"Diclosulam"</f>
        <v>Diclosulam</v>
      </c>
      <c r="B110" s="1" t="s">
        <v>405</v>
      </c>
      <c r="C110" s="1" t="s">
        <v>56</v>
      </c>
      <c r="D110" s="1" t="s">
        <v>331</v>
      </c>
      <c r="E110" s="1">
        <v>2</v>
      </c>
      <c r="F110" s="1" t="s">
        <v>55</v>
      </c>
      <c r="G110" s="1" t="s">
        <v>406</v>
      </c>
      <c r="H110" s="6" t="s">
        <v>407</v>
      </c>
    </row>
    <row r="111" spans="1:8" ht="106.15" customHeight="1" x14ac:dyDescent="0.25">
      <c r="A111" s="5" t="str">
        <f>"Diethatyl-ethyl"</f>
        <v>Diethatyl-ethyl</v>
      </c>
      <c r="B111" s="1" t="s">
        <v>408</v>
      </c>
      <c r="C111" s="1" t="s">
        <v>20</v>
      </c>
      <c r="D111" s="1" t="s">
        <v>18</v>
      </c>
      <c r="E111" s="1">
        <v>15</v>
      </c>
      <c r="F111" s="1" t="s">
        <v>19</v>
      </c>
      <c r="G111" s="1" t="s">
        <v>409</v>
      </c>
      <c r="H111" s="6" t="s">
        <v>410</v>
      </c>
    </row>
    <row r="112" spans="1:8" ht="66.75" customHeight="1" x14ac:dyDescent="0.25">
      <c r="A112" s="5" t="str">
        <f>"Difenoxuron"</f>
        <v>Difenoxuron</v>
      </c>
      <c r="B112" s="1" t="s">
        <v>411</v>
      </c>
      <c r="C112" s="1" t="s">
        <v>82</v>
      </c>
      <c r="D112" s="1" t="s">
        <v>145</v>
      </c>
      <c r="E112" s="1">
        <v>5</v>
      </c>
      <c r="F112" s="1" t="s">
        <v>146</v>
      </c>
      <c r="G112" s="1" t="s">
        <v>412</v>
      </c>
      <c r="H112" s="6" t="s">
        <v>413</v>
      </c>
    </row>
    <row r="113" spans="1:8" ht="106.15" customHeight="1" x14ac:dyDescent="0.25">
      <c r="A113" s="5" t="str">
        <f>"Difenzoquat"</f>
        <v>Difenzoquat</v>
      </c>
      <c r="B113" s="1" t="s">
        <v>414</v>
      </c>
      <c r="C113" s="1" t="s">
        <v>68</v>
      </c>
      <c r="E113" s="1">
        <v>0</v>
      </c>
      <c r="F113" s="1" t="s">
        <v>126</v>
      </c>
      <c r="G113" s="1" t="s">
        <v>415</v>
      </c>
      <c r="H113" s="6" t="s">
        <v>416</v>
      </c>
    </row>
    <row r="114" spans="1:8" ht="105.65" customHeight="1" x14ac:dyDescent="0.25">
      <c r="A114" s="5" t="str">
        <f>"Diflufenican"</f>
        <v>Diflufenican</v>
      </c>
      <c r="B114" s="1" t="s">
        <v>417</v>
      </c>
      <c r="C114" s="1" t="s">
        <v>106</v>
      </c>
      <c r="D114" s="1" t="s">
        <v>104</v>
      </c>
      <c r="E114" s="1">
        <v>12</v>
      </c>
      <c r="F114" s="1" t="s">
        <v>105</v>
      </c>
      <c r="G114" s="1" t="s">
        <v>418</v>
      </c>
      <c r="H114" s="6" t="s">
        <v>419</v>
      </c>
    </row>
    <row r="115" spans="1:8" ht="83.65" customHeight="1" x14ac:dyDescent="0.25">
      <c r="A115" s="5" t="str">
        <f>"Diflufenzopyr"</f>
        <v>Diflufenzopyr</v>
      </c>
      <c r="B115" s="1" t="s">
        <v>420</v>
      </c>
      <c r="C115" s="1" t="s">
        <v>423</v>
      </c>
      <c r="D115" s="1" t="s">
        <v>421</v>
      </c>
      <c r="E115" s="1">
        <v>19</v>
      </c>
      <c r="F115" s="1" t="s">
        <v>422</v>
      </c>
      <c r="G115" s="1" t="s">
        <v>424</v>
      </c>
      <c r="H115" s="6" t="s">
        <v>425</v>
      </c>
    </row>
    <row r="116" spans="1:8" ht="93.75" customHeight="1" x14ac:dyDescent="0.25">
      <c r="A116" s="5" t="str">
        <f>"Dimefuron"</f>
        <v>Dimefuron</v>
      </c>
      <c r="B116" s="1" t="s">
        <v>426</v>
      </c>
      <c r="C116" s="1" t="s">
        <v>82</v>
      </c>
      <c r="D116" s="1" t="s">
        <v>145</v>
      </c>
      <c r="E116" s="1">
        <v>5</v>
      </c>
      <c r="F116" s="1" t="s">
        <v>146</v>
      </c>
      <c r="G116" s="1" t="s">
        <v>427</v>
      </c>
      <c r="H116" s="6" t="s">
        <v>428</v>
      </c>
    </row>
    <row r="117" spans="1:8" ht="67.900000000000006" customHeight="1" x14ac:dyDescent="0.25">
      <c r="A117" s="5" t="str">
        <f>"Dimepiperate"</f>
        <v>Dimepiperate</v>
      </c>
      <c r="B117" s="1" t="s">
        <v>429</v>
      </c>
      <c r="C117" s="1" t="s">
        <v>20</v>
      </c>
      <c r="D117" s="1" t="s">
        <v>218</v>
      </c>
      <c r="E117" s="1">
        <v>15</v>
      </c>
      <c r="F117" s="1" t="s">
        <v>19</v>
      </c>
      <c r="G117" s="1" t="s">
        <v>430</v>
      </c>
      <c r="H117" s="6" t="s">
        <v>431</v>
      </c>
    </row>
    <row r="118" spans="1:8" ht="104.5" customHeight="1" x14ac:dyDescent="0.25">
      <c r="A118" s="5" t="str">
        <f>"Dimesulfazet"</f>
        <v>Dimesulfazet</v>
      </c>
      <c r="B118" s="1" t="s">
        <v>432</v>
      </c>
      <c r="C118" s="1" t="s">
        <v>20</v>
      </c>
      <c r="D118" s="1" t="s">
        <v>30</v>
      </c>
      <c r="E118" s="1">
        <v>15</v>
      </c>
      <c r="G118" s="1" t="s">
        <v>433</v>
      </c>
      <c r="H118" s="6"/>
    </row>
    <row r="119" spans="1:8" ht="96" customHeight="1" x14ac:dyDescent="0.25">
      <c r="A119" s="5" t="str">
        <f>"Dimethachlor"</f>
        <v>Dimethachlor</v>
      </c>
      <c r="B119" s="1" t="s">
        <v>434</v>
      </c>
      <c r="C119" s="1" t="s">
        <v>20</v>
      </c>
      <c r="D119" s="1" t="s">
        <v>18</v>
      </c>
      <c r="E119" s="1">
        <v>15</v>
      </c>
      <c r="F119" s="1" t="s">
        <v>19</v>
      </c>
      <c r="G119" s="1" t="s">
        <v>435</v>
      </c>
      <c r="H119" s="6" t="s">
        <v>436</v>
      </c>
    </row>
    <row r="120" spans="1:8" ht="88.15" customHeight="1" x14ac:dyDescent="0.25">
      <c r="A120" s="5" t="str">
        <f>"Dimethametryn"</f>
        <v>Dimethametryn</v>
      </c>
      <c r="B120" s="1" t="s">
        <v>437</v>
      </c>
      <c r="C120" s="1" t="s">
        <v>49</v>
      </c>
      <c r="D120" s="1" t="s">
        <v>47</v>
      </c>
      <c r="E120" s="1">
        <v>5</v>
      </c>
      <c r="F120" s="1" t="s">
        <v>48</v>
      </c>
      <c r="G120" s="1" t="s">
        <v>438</v>
      </c>
      <c r="H120" s="6" t="s">
        <v>439</v>
      </c>
    </row>
    <row r="121" spans="1:8" ht="98.25" customHeight="1" x14ac:dyDescent="0.25">
      <c r="A121" s="5" t="str">
        <f>"Dimethenamid"</f>
        <v>Dimethenamid</v>
      </c>
      <c r="B121" s="1" t="s">
        <v>440</v>
      </c>
      <c r="C121" s="1" t="s">
        <v>20</v>
      </c>
      <c r="D121" s="1" t="s">
        <v>18</v>
      </c>
      <c r="E121" s="1">
        <v>15</v>
      </c>
      <c r="F121" s="1" t="s">
        <v>19</v>
      </c>
      <c r="G121" s="1" t="s">
        <v>441</v>
      </c>
      <c r="H121" s="6" t="s">
        <v>442</v>
      </c>
    </row>
    <row r="122" spans="1:8" ht="96" customHeight="1" x14ac:dyDescent="0.25">
      <c r="A122" s="5" t="str">
        <f>"Dinitramine"</f>
        <v>Dinitramine</v>
      </c>
      <c r="B122" s="1" t="s">
        <v>443</v>
      </c>
      <c r="C122" s="1" t="s">
        <v>1180</v>
      </c>
      <c r="D122" s="1" t="s">
        <v>113</v>
      </c>
      <c r="E122" s="1">
        <v>3</v>
      </c>
      <c r="F122" s="1" t="s">
        <v>114</v>
      </c>
      <c r="G122" s="1" t="s">
        <v>444</v>
      </c>
      <c r="H122" s="6" t="s">
        <v>445</v>
      </c>
    </row>
    <row r="123" spans="1:8" ht="96.65" customHeight="1" x14ac:dyDescent="0.25">
      <c r="A123" s="5" t="str">
        <f>"Dinosam"</f>
        <v>Dinosam</v>
      </c>
      <c r="B123" s="1" t="s">
        <v>446</v>
      </c>
      <c r="C123" s="1" t="s">
        <v>372</v>
      </c>
      <c r="D123" s="1" t="s">
        <v>370</v>
      </c>
      <c r="E123" s="1">
        <v>24</v>
      </c>
      <c r="F123" s="1" t="s">
        <v>371</v>
      </c>
      <c r="G123" s="1" t="s">
        <v>447</v>
      </c>
      <c r="H123" s="6" t="s">
        <v>448</v>
      </c>
    </row>
    <row r="124" spans="1:8" ht="96" customHeight="1" x14ac:dyDescent="0.25">
      <c r="A124" s="5" t="str">
        <f>"Dinoseb"</f>
        <v>Dinoseb</v>
      </c>
      <c r="B124" s="1" t="s">
        <v>449</v>
      </c>
      <c r="C124" s="1" t="s">
        <v>372</v>
      </c>
      <c r="D124" s="1" t="s">
        <v>370</v>
      </c>
      <c r="E124" s="1">
        <v>24</v>
      </c>
      <c r="F124" s="1" t="s">
        <v>371</v>
      </c>
      <c r="G124" s="1" t="s">
        <v>450</v>
      </c>
      <c r="H124" s="6" t="s">
        <v>451</v>
      </c>
    </row>
    <row r="125" spans="1:8" ht="94.4" customHeight="1" x14ac:dyDescent="0.25">
      <c r="A125" s="5" t="str">
        <f>"Dinoterb"</f>
        <v>Dinoterb</v>
      </c>
      <c r="B125" s="1" t="s">
        <v>452</v>
      </c>
      <c r="C125" s="1" t="s">
        <v>372</v>
      </c>
      <c r="D125" s="1" t="s">
        <v>370</v>
      </c>
      <c r="E125" s="1">
        <v>24</v>
      </c>
      <c r="F125" s="1" t="s">
        <v>371</v>
      </c>
      <c r="G125" s="1" t="s">
        <v>453</v>
      </c>
      <c r="H125" s="6" t="s">
        <v>451</v>
      </c>
    </row>
    <row r="126" spans="1:8" ht="96" customHeight="1" x14ac:dyDescent="0.25">
      <c r="A126" s="5" t="str">
        <f>"Diphenamid"</f>
        <v>Diphenamid</v>
      </c>
      <c r="B126" s="1" t="s">
        <v>454</v>
      </c>
      <c r="C126" s="1" t="s">
        <v>68</v>
      </c>
      <c r="D126" s="1" t="s">
        <v>455</v>
      </c>
      <c r="E126" s="1">
        <v>0</v>
      </c>
      <c r="F126" s="1" t="s">
        <v>126</v>
      </c>
      <c r="G126" s="1" t="s">
        <v>456</v>
      </c>
      <c r="H126" s="6" t="s">
        <v>457</v>
      </c>
    </row>
    <row r="127" spans="1:8" ht="75.25" customHeight="1" x14ac:dyDescent="0.25">
      <c r="A127" s="5" t="str">
        <f>"Dipropetryn"</f>
        <v>Dipropetryn</v>
      </c>
      <c r="B127" s="1" t="s">
        <v>458</v>
      </c>
      <c r="C127" s="1" t="s">
        <v>82</v>
      </c>
      <c r="D127" s="1" t="s">
        <v>47</v>
      </c>
      <c r="E127" s="1">
        <v>5</v>
      </c>
      <c r="F127" s="1" t="s">
        <v>81</v>
      </c>
      <c r="G127" s="1" t="s">
        <v>459</v>
      </c>
      <c r="H127" s="6" t="s">
        <v>439</v>
      </c>
    </row>
    <row r="128" spans="1:8" ht="96" customHeight="1" x14ac:dyDescent="0.25">
      <c r="A128" s="5" t="str">
        <f>"Diquat"</f>
        <v>Diquat</v>
      </c>
      <c r="B128" s="1" t="s">
        <v>460</v>
      </c>
      <c r="C128" s="1" t="s">
        <v>360</v>
      </c>
      <c r="D128" s="1" t="s">
        <v>358</v>
      </c>
      <c r="E128" s="1">
        <v>22</v>
      </c>
      <c r="F128" s="1" t="s">
        <v>359</v>
      </c>
      <c r="G128" s="1" t="s">
        <v>461</v>
      </c>
      <c r="H128" s="6" t="s">
        <v>462</v>
      </c>
    </row>
    <row r="129" spans="1:8" ht="106.15" customHeight="1" x14ac:dyDescent="0.25">
      <c r="A129" s="5" t="str">
        <f>"Dithiopyr"</f>
        <v>Dithiopyr</v>
      </c>
      <c r="B129" s="1" t="s">
        <v>463</v>
      </c>
      <c r="C129" s="1" t="s">
        <v>1180</v>
      </c>
      <c r="D129" s="1" t="s">
        <v>464</v>
      </c>
      <c r="E129" s="1">
        <v>3</v>
      </c>
      <c r="F129" s="1" t="s">
        <v>114</v>
      </c>
      <c r="G129" s="1" t="s">
        <v>465</v>
      </c>
      <c r="H129" s="6" t="s">
        <v>466</v>
      </c>
    </row>
    <row r="130" spans="1:8" ht="68.5" customHeight="1" x14ac:dyDescent="0.25">
      <c r="A130" s="5" t="str">
        <f>"Diuron"</f>
        <v>Diuron</v>
      </c>
      <c r="B130" s="1" t="s">
        <v>467</v>
      </c>
      <c r="C130" s="1" t="s">
        <v>49</v>
      </c>
      <c r="D130" s="1" t="s">
        <v>145</v>
      </c>
      <c r="E130" s="1">
        <v>5</v>
      </c>
      <c r="F130" s="1" t="s">
        <v>48</v>
      </c>
      <c r="G130" s="1" t="s">
        <v>468</v>
      </c>
      <c r="H130" s="6" t="s">
        <v>469</v>
      </c>
    </row>
    <row r="131" spans="1:8" ht="72.400000000000006" customHeight="1" x14ac:dyDescent="0.25">
      <c r="A131" s="5" t="str">
        <f>"Dymron/Daimuron"</f>
        <v>Dymron/Daimuron</v>
      </c>
      <c r="B131" s="1" t="s">
        <v>470</v>
      </c>
      <c r="C131" s="1" t="s">
        <v>68</v>
      </c>
      <c r="E131" s="1">
        <v>0</v>
      </c>
      <c r="F131" s="1" t="s">
        <v>126</v>
      </c>
      <c r="G131" s="1" t="s">
        <v>471</v>
      </c>
      <c r="H131" s="6" t="s">
        <v>472</v>
      </c>
    </row>
    <row r="132" spans="1:8" ht="83.65" customHeight="1" x14ac:dyDescent="0.25">
      <c r="A132" s="5" t="str">
        <f>"EPTC"</f>
        <v>EPTC</v>
      </c>
      <c r="B132" s="1" t="s">
        <v>473</v>
      </c>
      <c r="C132" s="1" t="s">
        <v>20</v>
      </c>
      <c r="D132" s="1" t="s">
        <v>218</v>
      </c>
      <c r="E132" s="1">
        <v>15</v>
      </c>
      <c r="F132" s="1" t="s">
        <v>19</v>
      </c>
      <c r="G132" s="1" t="s">
        <v>474</v>
      </c>
      <c r="H132" s="6" t="s">
        <v>475</v>
      </c>
    </row>
    <row r="133" spans="1:8" ht="85.9" customHeight="1" x14ac:dyDescent="0.25">
      <c r="A133" s="5" t="str">
        <f>"Eglinazine-ethyl"</f>
        <v>Eglinazine-ethyl</v>
      </c>
      <c r="B133" s="1" t="s">
        <v>476</v>
      </c>
      <c r="C133" s="1" t="s">
        <v>82</v>
      </c>
      <c r="D133" s="1" t="s">
        <v>47</v>
      </c>
      <c r="E133" s="1">
        <v>5</v>
      </c>
      <c r="F133" s="1" t="s">
        <v>81</v>
      </c>
      <c r="G133" s="1" t="s">
        <v>477</v>
      </c>
      <c r="H133" s="6" t="s">
        <v>478</v>
      </c>
    </row>
    <row r="134" spans="1:8" ht="87" customHeight="1" x14ac:dyDescent="0.25">
      <c r="A134" s="5" t="str">
        <f>"Endothal"</f>
        <v>Endothal</v>
      </c>
      <c r="B134" s="1" t="s">
        <v>479</v>
      </c>
      <c r="C134" s="1" t="s">
        <v>481</v>
      </c>
      <c r="D134" s="1" t="s">
        <v>30</v>
      </c>
      <c r="E134" s="1">
        <v>31</v>
      </c>
      <c r="F134" s="1" t="s">
        <v>480</v>
      </c>
      <c r="G134" s="1" t="s">
        <v>482</v>
      </c>
      <c r="H134" s="6" t="s">
        <v>483</v>
      </c>
    </row>
    <row r="135" spans="1:8" ht="98.9" customHeight="1" x14ac:dyDescent="0.25">
      <c r="A135" s="5" t="str">
        <f>"Epyrifenacil"</f>
        <v>Epyrifenacil</v>
      </c>
      <c r="B135" s="1" t="s">
        <v>484</v>
      </c>
      <c r="C135" s="1" t="s">
        <v>26</v>
      </c>
      <c r="D135" s="1" t="s">
        <v>198</v>
      </c>
      <c r="E135" s="1">
        <v>14</v>
      </c>
      <c r="F135" s="1" t="s">
        <v>25</v>
      </c>
      <c r="H135" s="6"/>
    </row>
    <row r="136" spans="1:8" ht="67.900000000000006" customHeight="1" x14ac:dyDescent="0.25">
      <c r="A136" s="5" t="str">
        <f>"Esprocarb"</f>
        <v>Esprocarb</v>
      </c>
      <c r="B136" s="1" t="s">
        <v>485</v>
      </c>
      <c r="C136" s="1" t="s">
        <v>20</v>
      </c>
      <c r="D136" s="1" t="s">
        <v>218</v>
      </c>
      <c r="E136" s="1">
        <v>15</v>
      </c>
      <c r="F136" s="1" t="s">
        <v>19</v>
      </c>
      <c r="G136" s="1" t="s">
        <v>486</v>
      </c>
      <c r="H136" s="6" t="s">
        <v>487</v>
      </c>
    </row>
    <row r="137" spans="1:8" ht="106.15" customHeight="1" x14ac:dyDescent="0.25">
      <c r="A137" s="5" t="str">
        <f>"Ethalfluralin"</f>
        <v>Ethalfluralin</v>
      </c>
      <c r="B137" s="1" t="s">
        <v>488</v>
      </c>
      <c r="C137" s="1" t="s">
        <v>1180</v>
      </c>
      <c r="D137" s="1" t="s">
        <v>113</v>
      </c>
      <c r="E137" s="1">
        <v>3</v>
      </c>
      <c r="F137" s="1" t="s">
        <v>114</v>
      </c>
      <c r="G137" s="1" t="s">
        <v>489</v>
      </c>
      <c r="H137" s="6" t="s">
        <v>490</v>
      </c>
    </row>
    <row r="138" spans="1:8" ht="106.15" customHeight="1" x14ac:dyDescent="0.25">
      <c r="A138" s="5" t="str">
        <f>"Ethametsulfuron-methyl"</f>
        <v>Ethametsulfuron-methyl</v>
      </c>
      <c r="B138" s="1" t="s">
        <v>491</v>
      </c>
      <c r="C138" s="1" t="s">
        <v>56</v>
      </c>
      <c r="D138" s="1" t="s">
        <v>54</v>
      </c>
      <c r="E138" s="1">
        <v>2</v>
      </c>
      <c r="F138" s="1" t="s">
        <v>55</v>
      </c>
      <c r="G138" s="1" t="s">
        <v>492</v>
      </c>
      <c r="H138" s="6" t="s">
        <v>493</v>
      </c>
    </row>
    <row r="139" spans="1:8" ht="88.15" customHeight="1" x14ac:dyDescent="0.25">
      <c r="A139" s="5" t="str">
        <f>"Ethidimuron"</f>
        <v>Ethidimuron</v>
      </c>
      <c r="B139" s="1" t="s">
        <v>494</v>
      </c>
      <c r="C139" s="1" t="s">
        <v>82</v>
      </c>
      <c r="D139" s="1" t="s">
        <v>145</v>
      </c>
      <c r="E139" s="1">
        <v>5</v>
      </c>
      <c r="F139" s="1" t="s">
        <v>146</v>
      </c>
      <c r="G139" s="1" t="s">
        <v>495</v>
      </c>
      <c r="H139" s="6" t="s">
        <v>496</v>
      </c>
    </row>
    <row r="140" spans="1:8" ht="91.5" customHeight="1" x14ac:dyDescent="0.25">
      <c r="A140" s="5" t="str">
        <f>"Ethiozin"</f>
        <v>Ethiozin</v>
      </c>
      <c r="B140" s="1" t="s">
        <v>497</v>
      </c>
      <c r="C140" s="1" t="s">
        <v>82</v>
      </c>
      <c r="D140" s="1" t="s">
        <v>498</v>
      </c>
      <c r="E140" s="1">
        <v>5</v>
      </c>
      <c r="F140" s="1" t="s">
        <v>81</v>
      </c>
      <c r="G140" s="1" t="s">
        <v>499</v>
      </c>
      <c r="H140" s="6" t="s">
        <v>500</v>
      </c>
    </row>
    <row r="141" spans="1:8" ht="60.65" customHeight="1" x14ac:dyDescent="0.25">
      <c r="A141" s="5" t="str">
        <f>"Ethofumesate"</f>
        <v>Ethofumesate</v>
      </c>
      <c r="B141" s="1" t="s">
        <v>501</v>
      </c>
      <c r="C141" s="1" t="s">
        <v>20</v>
      </c>
      <c r="D141" s="1" t="s">
        <v>118</v>
      </c>
      <c r="E141" s="1">
        <v>15</v>
      </c>
      <c r="F141" s="1" t="s">
        <v>19</v>
      </c>
      <c r="G141" s="1" t="s">
        <v>502</v>
      </c>
      <c r="H141" s="6" t="s">
        <v>503</v>
      </c>
    </row>
    <row r="142" spans="1:8" ht="106.15" customHeight="1" x14ac:dyDescent="0.25">
      <c r="A142" s="5" t="str">
        <f>"Ethoxysulfuron"</f>
        <v>Ethoxysulfuron</v>
      </c>
      <c r="B142" s="1" t="s">
        <v>504</v>
      </c>
      <c r="C142" s="1" t="s">
        <v>56</v>
      </c>
      <c r="D142" s="1" t="s">
        <v>54</v>
      </c>
      <c r="E142" s="1">
        <v>2</v>
      </c>
      <c r="F142" s="1" t="s">
        <v>55</v>
      </c>
      <c r="G142" s="1" t="s">
        <v>505</v>
      </c>
      <c r="H142" s="6" t="s">
        <v>506</v>
      </c>
    </row>
    <row r="143" spans="1:8" ht="94.4" customHeight="1" x14ac:dyDescent="0.25">
      <c r="A143" s="5" t="str">
        <f>"Etinofen"</f>
        <v>Etinofen</v>
      </c>
      <c r="B143" s="1" t="s">
        <v>507</v>
      </c>
      <c r="C143" s="1" t="s">
        <v>372</v>
      </c>
      <c r="D143" s="1" t="s">
        <v>370</v>
      </c>
      <c r="E143" s="1">
        <v>24</v>
      </c>
      <c r="F143" s="1" t="s">
        <v>371</v>
      </c>
      <c r="G143" s="1" t="s">
        <v>508</v>
      </c>
      <c r="H143" s="6" t="s">
        <v>509</v>
      </c>
    </row>
    <row r="144" spans="1:8" ht="105.65" customHeight="1" x14ac:dyDescent="0.25">
      <c r="A144" s="5" t="str">
        <f>"Etobenzanid"</f>
        <v>Etobenzanid</v>
      </c>
      <c r="B144" s="1" t="s">
        <v>510</v>
      </c>
      <c r="C144" s="1" t="s">
        <v>68</v>
      </c>
      <c r="E144" s="1">
        <v>0</v>
      </c>
      <c r="F144" s="1" t="s">
        <v>126</v>
      </c>
      <c r="G144" s="1" t="s">
        <v>511</v>
      </c>
      <c r="H144" s="6" t="s">
        <v>512</v>
      </c>
    </row>
    <row r="145" spans="1:8" ht="70.75" customHeight="1" x14ac:dyDescent="0.25">
      <c r="A145" s="5" t="str">
        <f>"Fenoprop"</f>
        <v>Fenoprop</v>
      </c>
      <c r="B145" s="1" t="s">
        <v>513</v>
      </c>
      <c r="C145" s="1" t="s">
        <v>6</v>
      </c>
      <c r="D145" s="1" t="s">
        <v>2</v>
      </c>
      <c r="E145" s="1">
        <v>4</v>
      </c>
      <c r="F145" s="1" t="s">
        <v>5</v>
      </c>
      <c r="G145" s="1" t="s">
        <v>514</v>
      </c>
      <c r="H145" s="6" t="s">
        <v>515</v>
      </c>
    </row>
    <row r="146" spans="1:8" ht="106.15" customHeight="1" x14ac:dyDescent="0.25">
      <c r="A146" s="5" t="str">
        <f>"Fenoxaprop-ethyl"</f>
        <v>Fenoxaprop-ethyl</v>
      </c>
      <c r="B146" s="1" t="s">
        <v>516</v>
      </c>
      <c r="C146" s="1" t="s">
        <v>43</v>
      </c>
      <c r="D146" s="1" t="s">
        <v>312</v>
      </c>
      <c r="E146" s="1">
        <v>1</v>
      </c>
      <c r="F146" s="1" t="s">
        <v>42</v>
      </c>
      <c r="G146" s="1" t="s">
        <v>517</v>
      </c>
      <c r="H146" s="6" t="s">
        <v>518</v>
      </c>
    </row>
    <row r="147" spans="1:8" ht="81.400000000000006" customHeight="1" x14ac:dyDescent="0.25">
      <c r="A147" s="5" t="str">
        <f>"Fenoxasulfone"</f>
        <v>Fenoxasulfone</v>
      </c>
      <c r="B147" s="1" t="s">
        <v>519</v>
      </c>
      <c r="C147" s="1" t="s">
        <v>20</v>
      </c>
      <c r="D147" s="1" t="s">
        <v>520</v>
      </c>
      <c r="E147" s="1">
        <v>15</v>
      </c>
      <c r="F147" s="1" t="s">
        <v>19</v>
      </c>
      <c r="G147" s="1" t="s">
        <v>521</v>
      </c>
      <c r="H147" s="6" t="s">
        <v>522</v>
      </c>
    </row>
    <row r="148" spans="1:8" ht="102.25" customHeight="1" x14ac:dyDescent="0.25">
      <c r="A148" s="5" t="str">
        <f>"Fenquinotrione"</f>
        <v>Fenquinotrione</v>
      </c>
      <c r="B148" s="1" t="s">
        <v>523</v>
      </c>
      <c r="C148" s="1" t="s">
        <v>137</v>
      </c>
      <c r="D148" s="1" t="s">
        <v>135</v>
      </c>
      <c r="E148" s="1">
        <v>27</v>
      </c>
      <c r="F148" s="1" t="s">
        <v>136</v>
      </c>
      <c r="G148" s="1" t="s">
        <v>524</v>
      </c>
      <c r="H148" s="6" t="s">
        <v>525</v>
      </c>
    </row>
    <row r="149" spans="1:8" ht="94.9" customHeight="1" x14ac:dyDescent="0.25">
      <c r="A149" s="5" t="str">
        <f>"Fenthiaprop"</f>
        <v>Fenthiaprop</v>
      </c>
      <c r="B149" s="1" t="s">
        <v>526</v>
      </c>
      <c r="C149" s="1" t="s">
        <v>43</v>
      </c>
      <c r="D149" s="1" t="s">
        <v>312</v>
      </c>
      <c r="E149" s="1">
        <v>1</v>
      </c>
      <c r="F149" s="1" t="s">
        <v>42</v>
      </c>
      <c r="G149" s="1" t="s">
        <v>527</v>
      </c>
      <c r="H149" s="6" t="s">
        <v>528</v>
      </c>
    </row>
    <row r="150" spans="1:8" ht="83.15" customHeight="1" x14ac:dyDescent="0.25">
      <c r="A150" s="5" t="str">
        <f>"Fentrazamide"</f>
        <v>Fentrazamide</v>
      </c>
      <c r="B150" s="1" t="s">
        <v>529</v>
      </c>
      <c r="C150" s="1" t="s">
        <v>20</v>
      </c>
      <c r="D150" s="1" t="s">
        <v>227</v>
      </c>
      <c r="E150" s="1">
        <v>15</v>
      </c>
      <c r="F150" s="1" t="s">
        <v>19</v>
      </c>
      <c r="G150" s="1" t="s">
        <v>530</v>
      </c>
      <c r="H150" s="6" t="s">
        <v>531</v>
      </c>
    </row>
    <row r="151" spans="1:8" ht="64.5" customHeight="1" x14ac:dyDescent="0.25">
      <c r="A151" s="5" t="str">
        <f>"Fenuron"</f>
        <v>Fenuron</v>
      </c>
      <c r="B151" s="1" t="s">
        <v>532</v>
      </c>
      <c r="C151" s="1" t="s">
        <v>82</v>
      </c>
      <c r="D151" s="1" t="s">
        <v>145</v>
      </c>
      <c r="E151" s="1">
        <v>5</v>
      </c>
      <c r="F151" s="1" t="s">
        <v>146</v>
      </c>
      <c r="G151" s="1" t="s">
        <v>533</v>
      </c>
      <c r="H151" s="6" t="s">
        <v>534</v>
      </c>
    </row>
    <row r="152" spans="1:8" ht="99.4" customHeight="1" x14ac:dyDescent="0.25">
      <c r="A152" s="5" t="str">
        <f>"Flamprop-m"</f>
        <v>Flamprop-m</v>
      </c>
      <c r="B152" s="1" t="s">
        <v>535</v>
      </c>
      <c r="C152" s="1" t="s">
        <v>68</v>
      </c>
      <c r="D152" s="1" t="s">
        <v>536</v>
      </c>
      <c r="E152" s="1">
        <v>0</v>
      </c>
      <c r="F152" s="1" t="s">
        <v>126</v>
      </c>
      <c r="G152" s="1" t="s">
        <v>537</v>
      </c>
      <c r="H152" s="6" t="s">
        <v>538</v>
      </c>
    </row>
    <row r="153" spans="1:8" ht="105" customHeight="1" x14ac:dyDescent="0.25">
      <c r="A153" s="5" t="str">
        <f>"Flazasulfuron"</f>
        <v>Flazasulfuron</v>
      </c>
      <c r="B153" s="1" t="s">
        <v>539</v>
      </c>
      <c r="C153" s="1" t="s">
        <v>56</v>
      </c>
      <c r="D153" s="1" t="s">
        <v>54</v>
      </c>
      <c r="E153" s="1">
        <v>2</v>
      </c>
      <c r="F153" s="1" t="s">
        <v>55</v>
      </c>
      <c r="G153" s="1" t="s">
        <v>540</v>
      </c>
      <c r="H153" s="6" t="s">
        <v>541</v>
      </c>
    </row>
    <row r="154" spans="1:8" ht="106.15" customHeight="1" x14ac:dyDescent="0.25">
      <c r="A154" s="5" t="str">
        <f>"Florasulam"</f>
        <v>Florasulam</v>
      </c>
      <c r="B154" s="1" t="s">
        <v>542</v>
      </c>
      <c r="C154" s="1" t="s">
        <v>56</v>
      </c>
      <c r="D154" s="1" t="s">
        <v>331</v>
      </c>
      <c r="E154" s="1">
        <v>2</v>
      </c>
      <c r="F154" s="1" t="s">
        <v>55</v>
      </c>
      <c r="G154" s="1" t="s">
        <v>543</v>
      </c>
      <c r="H154" s="6" t="s">
        <v>544</v>
      </c>
    </row>
    <row r="155" spans="1:8" ht="95.5" customHeight="1" x14ac:dyDescent="0.25">
      <c r="A155" s="5" t="str">
        <f>"Florpyrauxifen"</f>
        <v>Florpyrauxifen</v>
      </c>
      <c r="B155" s="1" t="s">
        <v>545</v>
      </c>
      <c r="C155" s="1" t="s">
        <v>6</v>
      </c>
      <c r="D155" s="1" t="s">
        <v>546</v>
      </c>
      <c r="E155" s="1">
        <v>4</v>
      </c>
      <c r="F155" s="1" t="s">
        <v>5</v>
      </c>
      <c r="G155" s="1" t="s">
        <v>547</v>
      </c>
      <c r="H155" s="6" t="s">
        <v>548</v>
      </c>
    </row>
    <row r="156" spans="1:8" ht="105.65" customHeight="1" x14ac:dyDescent="0.25">
      <c r="A156" s="5" t="str">
        <f>"Fluazifop-butyl"</f>
        <v>Fluazifop-butyl</v>
      </c>
      <c r="B156" s="1" t="s">
        <v>549</v>
      </c>
      <c r="C156" s="1" t="s">
        <v>43</v>
      </c>
      <c r="D156" s="1" t="s">
        <v>312</v>
      </c>
      <c r="E156" s="1">
        <v>1</v>
      </c>
      <c r="F156" s="1" t="s">
        <v>42</v>
      </c>
      <c r="G156" s="1" t="s">
        <v>550</v>
      </c>
      <c r="H156" s="6" t="s">
        <v>551</v>
      </c>
    </row>
    <row r="157" spans="1:8" ht="90.4" customHeight="1" x14ac:dyDescent="0.25">
      <c r="A157" s="5" t="str">
        <f>"Flucarbazone-Na"</f>
        <v>Flucarbazone-Na</v>
      </c>
      <c r="B157" s="1" t="s">
        <v>552</v>
      </c>
      <c r="C157" s="1" t="s">
        <v>56</v>
      </c>
      <c r="D157" s="1" t="s">
        <v>553</v>
      </c>
      <c r="E157" s="1">
        <v>2</v>
      </c>
      <c r="F157" s="1" t="s">
        <v>55</v>
      </c>
      <c r="G157" s="1" t="s">
        <v>554</v>
      </c>
      <c r="H157" s="6" t="s">
        <v>555</v>
      </c>
    </row>
    <row r="158" spans="1:8" ht="106.15" customHeight="1" x14ac:dyDescent="0.25">
      <c r="A158" s="5" t="str">
        <f>"Flucetosulfuron"</f>
        <v>Flucetosulfuron</v>
      </c>
      <c r="B158" s="1" t="s">
        <v>556</v>
      </c>
      <c r="C158" s="1" t="s">
        <v>56</v>
      </c>
      <c r="D158" s="1" t="s">
        <v>54</v>
      </c>
      <c r="E158" s="1">
        <v>2</v>
      </c>
      <c r="F158" s="1" t="s">
        <v>55</v>
      </c>
      <c r="G158" s="1" t="s">
        <v>557</v>
      </c>
      <c r="H158" s="6" t="s">
        <v>558</v>
      </c>
    </row>
    <row r="159" spans="1:8" ht="106.15" customHeight="1" x14ac:dyDescent="0.25">
      <c r="A159" s="5" t="str">
        <f>"Fluchloralin"</f>
        <v>Fluchloralin</v>
      </c>
      <c r="B159" s="1" t="s">
        <v>559</v>
      </c>
      <c r="C159" s="1" t="s">
        <v>1180</v>
      </c>
      <c r="D159" s="1" t="s">
        <v>113</v>
      </c>
      <c r="E159" s="1">
        <v>3</v>
      </c>
      <c r="F159" s="1" t="s">
        <v>114</v>
      </c>
      <c r="G159" s="1" t="s">
        <v>560</v>
      </c>
      <c r="H159" s="6" t="s">
        <v>561</v>
      </c>
    </row>
    <row r="160" spans="1:8" ht="102.75" customHeight="1" x14ac:dyDescent="0.25">
      <c r="A160" s="5" t="str">
        <f>"Flufenacet"</f>
        <v>Flufenacet</v>
      </c>
      <c r="B160" s="1" t="s">
        <v>562</v>
      </c>
      <c r="C160" s="1" t="s">
        <v>20</v>
      </c>
      <c r="D160" s="1" t="s">
        <v>563</v>
      </c>
      <c r="E160" s="1">
        <v>15</v>
      </c>
      <c r="F160" s="1" t="s">
        <v>19</v>
      </c>
      <c r="G160" s="1" t="s">
        <v>564</v>
      </c>
      <c r="H160" s="6" t="s">
        <v>565</v>
      </c>
    </row>
    <row r="161" spans="1:8" ht="87" customHeight="1" x14ac:dyDescent="0.25">
      <c r="A161" s="5" t="str">
        <f>"Flumetsulam"</f>
        <v>Flumetsulam</v>
      </c>
      <c r="B161" s="1" t="s">
        <v>566</v>
      </c>
      <c r="C161" s="1" t="s">
        <v>56</v>
      </c>
      <c r="D161" s="1" t="s">
        <v>331</v>
      </c>
      <c r="E161" s="1">
        <v>2</v>
      </c>
      <c r="F161" s="1" t="s">
        <v>55</v>
      </c>
      <c r="G161" s="1" t="s">
        <v>567</v>
      </c>
      <c r="H161" s="6" t="s">
        <v>568</v>
      </c>
    </row>
    <row r="162" spans="1:8" ht="106.15" customHeight="1" x14ac:dyDescent="0.25">
      <c r="A162" s="5" t="str">
        <f>"Flumiclorac-pentyl"</f>
        <v>Flumiclorac-pentyl</v>
      </c>
      <c r="B162" s="1" t="s">
        <v>569</v>
      </c>
      <c r="C162" s="1" t="s">
        <v>26</v>
      </c>
      <c r="D162" s="1" t="s">
        <v>198</v>
      </c>
      <c r="E162" s="1">
        <v>14</v>
      </c>
      <c r="F162" s="1" t="s">
        <v>25</v>
      </c>
      <c r="G162" s="1" t="s">
        <v>570</v>
      </c>
      <c r="H162" s="6" t="s">
        <v>571</v>
      </c>
    </row>
    <row r="163" spans="1:8" ht="84.75" customHeight="1" x14ac:dyDescent="0.25">
      <c r="A163" s="5" t="str">
        <f>"Flumioxazin"</f>
        <v>Flumioxazin</v>
      </c>
      <c r="B163" s="1" t="s">
        <v>572</v>
      </c>
      <c r="C163" s="1" t="s">
        <v>26</v>
      </c>
      <c r="D163" s="1" t="s">
        <v>198</v>
      </c>
      <c r="E163" s="1">
        <v>14</v>
      </c>
      <c r="F163" s="1" t="s">
        <v>25</v>
      </c>
      <c r="G163" s="1" t="s">
        <v>573</v>
      </c>
      <c r="H163" s="6" t="s">
        <v>574</v>
      </c>
    </row>
    <row r="164" spans="1:8" ht="84.25" customHeight="1" x14ac:dyDescent="0.25">
      <c r="A164" s="5" t="str">
        <f>"Flumipropyn"</f>
        <v>Flumipropyn</v>
      </c>
      <c r="B164" s="1" t="s">
        <v>575</v>
      </c>
      <c r="C164" s="1" t="s">
        <v>26</v>
      </c>
      <c r="D164" s="1" t="s">
        <v>198</v>
      </c>
      <c r="E164" s="1">
        <v>14</v>
      </c>
      <c r="F164" s="1" t="s">
        <v>25</v>
      </c>
      <c r="G164" s="1" t="s">
        <v>576</v>
      </c>
      <c r="H164" s="6" t="s">
        <v>577</v>
      </c>
    </row>
    <row r="165" spans="1:8" ht="67.900000000000006" customHeight="1" x14ac:dyDescent="0.25">
      <c r="A165" s="5" t="str">
        <f>"Fluometuron"</f>
        <v>Fluometuron</v>
      </c>
      <c r="B165" s="1" t="s">
        <v>578</v>
      </c>
      <c r="C165" s="1" t="s">
        <v>49</v>
      </c>
      <c r="D165" s="1" t="s">
        <v>145</v>
      </c>
      <c r="E165" s="1">
        <v>5</v>
      </c>
      <c r="F165" s="1" t="s">
        <v>48</v>
      </c>
      <c r="G165" s="1" t="s">
        <v>579</v>
      </c>
      <c r="H165" s="6" t="s">
        <v>580</v>
      </c>
    </row>
    <row r="166" spans="1:8" ht="96" customHeight="1" x14ac:dyDescent="0.25">
      <c r="A166" s="5" t="str">
        <f>"Fluorodifen"</f>
        <v>Fluorodifen</v>
      </c>
      <c r="B166" s="1" t="s">
        <v>581</v>
      </c>
      <c r="C166" s="1" t="s">
        <v>26</v>
      </c>
      <c r="D166" s="1" t="s">
        <v>24</v>
      </c>
      <c r="E166" s="1">
        <v>14</v>
      </c>
      <c r="F166" s="1" t="s">
        <v>25</v>
      </c>
      <c r="G166" s="1" t="s">
        <v>582</v>
      </c>
      <c r="H166" s="6" t="s">
        <v>583</v>
      </c>
    </row>
    <row r="167" spans="1:8" ht="106.15" customHeight="1" x14ac:dyDescent="0.25">
      <c r="A167" s="5" t="str">
        <f>"Fluoroglycofen-ethyl"</f>
        <v>Fluoroglycofen-ethyl</v>
      </c>
      <c r="B167" s="1" t="s">
        <v>584</v>
      </c>
      <c r="C167" s="1" t="s">
        <v>26</v>
      </c>
      <c r="D167" s="1" t="s">
        <v>24</v>
      </c>
      <c r="E167" s="1">
        <v>14</v>
      </c>
      <c r="F167" s="1" t="s">
        <v>25</v>
      </c>
      <c r="G167" s="1" t="s">
        <v>585</v>
      </c>
      <c r="H167" s="6" t="s">
        <v>586</v>
      </c>
    </row>
    <row r="168" spans="1:8" ht="88.15" customHeight="1" x14ac:dyDescent="0.25">
      <c r="A168" s="5" t="str">
        <f>"Fluoronitrofen"</f>
        <v>Fluoronitrofen</v>
      </c>
      <c r="B168" s="1" t="s">
        <v>587</v>
      </c>
      <c r="C168" s="1" t="s">
        <v>26</v>
      </c>
      <c r="D168" s="1" t="s">
        <v>24</v>
      </c>
      <c r="E168" s="1">
        <v>14</v>
      </c>
      <c r="F168" s="1" t="s">
        <v>25</v>
      </c>
      <c r="G168" s="1" t="s">
        <v>588</v>
      </c>
      <c r="H168" s="6" t="s">
        <v>589</v>
      </c>
    </row>
    <row r="169" spans="1:8" ht="67.900000000000006" customHeight="1" x14ac:dyDescent="0.25">
      <c r="A169" s="5" t="str">
        <f>"Fluothiuron"</f>
        <v>Fluothiuron</v>
      </c>
      <c r="B169" s="1" t="s">
        <v>590</v>
      </c>
      <c r="C169" s="1" t="s">
        <v>82</v>
      </c>
      <c r="D169" s="1" t="s">
        <v>145</v>
      </c>
      <c r="E169" s="1">
        <v>5</v>
      </c>
      <c r="F169" s="1" t="s">
        <v>146</v>
      </c>
      <c r="G169" s="1" t="s">
        <v>591</v>
      </c>
      <c r="H169" s="6" t="s">
        <v>592</v>
      </c>
    </row>
    <row r="170" spans="1:8" ht="106.15" customHeight="1" x14ac:dyDescent="0.25">
      <c r="A170" s="5" t="str">
        <f>"Flupoxam"</f>
        <v>Flupoxam</v>
      </c>
      <c r="B170" s="1" t="s">
        <v>593</v>
      </c>
      <c r="C170" s="1" t="s">
        <v>295</v>
      </c>
      <c r="D170" s="1" t="s">
        <v>30</v>
      </c>
      <c r="E170" s="1">
        <v>29</v>
      </c>
      <c r="F170" s="1" t="s">
        <v>294</v>
      </c>
      <c r="G170" s="1" t="s">
        <v>594</v>
      </c>
      <c r="H170" s="6" t="s">
        <v>595</v>
      </c>
    </row>
    <row r="171" spans="1:8" ht="61.75" customHeight="1" x14ac:dyDescent="0.25">
      <c r="A171" s="5" t="str">
        <f>"Flupropanate"</f>
        <v>Flupropanate</v>
      </c>
      <c r="B171" s="1" t="s">
        <v>596</v>
      </c>
      <c r="C171" s="1" t="s">
        <v>68</v>
      </c>
      <c r="D171" s="1" t="s">
        <v>379</v>
      </c>
      <c r="E171" s="1">
        <v>0</v>
      </c>
      <c r="F171" s="1" t="s">
        <v>380</v>
      </c>
      <c r="G171" s="1" t="s">
        <v>597</v>
      </c>
      <c r="H171" s="6" t="s">
        <v>598</v>
      </c>
    </row>
    <row r="172" spans="1:8" ht="106.15" customHeight="1" x14ac:dyDescent="0.25">
      <c r="A172" s="5" t="str">
        <f>"Flupyrsulfuron-methyl-Na"</f>
        <v>Flupyrsulfuron-methyl-Na</v>
      </c>
      <c r="B172" s="1" t="s">
        <v>599</v>
      </c>
      <c r="C172" s="1" t="s">
        <v>56</v>
      </c>
      <c r="D172" s="1" t="s">
        <v>54</v>
      </c>
      <c r="E172" s="1">
        <v>2</v>
      </c>
      <c r="F172" s="1" t="s">
        <v>55</v>
      </c>
      <c r="G172" s="1" t="s">
        <v>600</v>
      </c>
      <c r="H172" s="6" t="s">
        <v>601</v>
      </c>
    </row>
    <row r="173" spans="1:8" ht="105.65" customHeight="1" x14ac:dyDescent="0.25">
      <c r="A173" s="5" t="str">
        <f>"Fluridone"</f>
        <v>Fluridone</v>
      </c>
      <c r="B173" s="1" t="s">
        <v>602</v>
      </c>
      <c r="C173" s="1" t="s">
        <v>106</v>
      </c>
      <c r="D173" s="1" t="s">
        <v>603</v>
      </c>
      <c r="E173" s="1">
        <v>12</v>
      </c>
      <c r="F173" s="1" t="s">
        <v>105</v>
      </c>
      <c r="G173" s="1" t="s">
        <v>604</v>
      </c>
      <c r="H173" s="6" t="s">
        <v>605</v>
      </c>
    </row>
    <row r="174" spans="1:8" ht="85.4" customHeight="1" x14ac:dyDescent="0.25">
      <c r="A174" s="5" t="str">
        <f>"Flurochloridone"</f>
        <v>Flurochloridone</v>
      </c>
      <c r="B174" s="1" t="s">
        <v>606</v>
      </c>
      <c r="C174" s="1" t="s">
        <v>106</v>
      </c>
      <c r="D174" s="1" t="s">
        <v>607</v>
      </c>
      <c r="E174" s="1">
        <v>12</v>
      </c>
      <c r="F174" s="1" t="s">
        <v>105</v>
      </c>
      <c r="G174" s="1" t="s">
        <v>608</v>
      </c>
      <c r="H174" s="6" t="s">
        <v>609</v>
      </c>
    </row>
    <row r="175" spans="1:8" ht="87" customHeight="1" x14ac:dyDescent="0.25">
      <c r="A175" s="5" t="str">
        <f>"Fluroxypyr"</f>
        <v>Fluroxypyr</v>
      </c>
      <c r="B175" s="1" t="s">
        <v>610</v>
      </c>
      <c r="C175" s="1" t="s">
        <v>6</v>
      </c>
      <c r="D175" s="1" t="s">
        <v>611</v>
      </c>
      <c r="E175" s="1">
        <v>4</v>
      </c>
      <c r="F175" s="1" t="s">
        <v>5</v>
      </c>
      <c r="G175" s="1" t="s">
        <v>612</v>
      </c>
      <c r="H175" s="6" t="s">
        <v>613</v>
      </c>
    </row>
    <row r="176" spans="1:8" ht="106.15" customHeight="1" x14ac:dyDescent="0.25">
      <c r="A176" s="5" t="str">
        <f>"Flurtamone"</f>
        <v>Flurtamone</v>
      </c>
      <c r="B176" s="1" t="s">
        <v>614</v>
      </c>
      <c r="C176" s="1" t="s">
        <v>106</v>
      </c>
      <c r="D176" s="1" t="s">
        <v>603</v>
      </c>
      <c r="E176" s="1">
        <v>12</v>
      </c>
      <c r="F176" s="1" t="s">
        <v>105</v>
      </c>
      <c r="G176" s="1" t="s">
        <v>615</v>
      </c>
      <c r="H176" s="6" t="s">
        <v>616</v>
      </c>
    </row>
    <row r="177" spans="1:8" ht="106.15" customHeight="1" x14ac:dyDescent="0.25">
      <c r="A177" s="5" t="str">
        <f>"Fluthiacet-methyl"</f>
        <v>Fluthiacet-methyl</v>
      </c>
      <c r="B177" s="1" t="s">
        <v>617</v>
      </c>
      <c r="C177" s="1" t="s">
        <v>26</v>
      </c>
      <c r="D177" s="1" t="s">
        <v>198</v>
      </c>
      <c r="E177" s="1">
        <v>14</v>
      </c>
      <c r="F177" s="1" t="s">
        <v>25</v>
      </c>
      <c r="G177" s="1" t="s">
        <v>618</v>
      </c>
      <c r="H177" s="6" t="s">
        <v>619</v>
      </c>
    </row>
    <row r="178" spans="1:8" ht="106.75" customHeight="1" x14ac:dyDescent="0.25">
      <c r="A178" s="5" t="str">
        <f>"Fomesafen"</f>
        <v>Fomesafen</v>
      </c>
      <c r="B178" s="1" t="s">
        <v>620</v>
      </c>
      <c r="C178" s="1" t="s">
        <v>26</v>
      </c>
      <c r="D178" s="1" t="s">
        <v>24</v>
      </c>
      <c r="E178" s="1">
        <v>14</v>
      </c>
      <c r="F178" s="1" t="s">
        <v>25</v>
      </c>
      <c r="G178" s="1" t="s">
        <v>621</v>
      </c>
      <c r="H178" s="6" t="s">
        <v>622</v>
      </c>
    </row>
    <row r="179" spans="1:8" ht="106.15" customHeight="1" x14ac:dyDescent="0.25">
      <c r="A179" s="5" t="str">
        <f>"Foramsulfuron"</f>
        <v>Foramsulfuron</v>
      </c>
      <c r="B179" s="1" t="s">
        <v>623</v>
      </c>
      <c r="C179" s="1" t="s">
        <v>56</v>
      </c>
      <c r="D179" s="1" t="s">
        <v>54</v>
      </c>
      <c r="E179" s="1">
        <v>2</v>
      </c>
      <c r="F179" s="1" t="s">
        <v>55</v>
      </c>
      <c r="G179" s="1" t="s">
        <v>624</v>
      </c>
      <c r="H179" s="6" t="s">
        <v>625</v>
      </c>
    </row>
    <row r="180" spans="1:8" ht="69.650000000000006" customHeight="1" x14ac:dyDescent="0.25">
      <c r="A180" s="5" t="str">
        <f>"Fosamine"</f>
        <v>Fosamine</v>
      </c>
      <c r="B180" s="1" t="s">
        <v>626</v>
      </c>
      <c r="C180" s="1" t="s">
        <v>68</v>
      </c>
      <c r="E180" s="1">
        <v>0</v>
      </c>
      <c r="F180" s="1" t="s">
        <v>126</v>
      </c>
      <c r="G180" s="1" t="s">
        <v>627</v>
      </c>
      <c r="H180" s="6" t="s">
        <v>628</v>
      </c>
    </row>
    <row r="181" spans="1:8" ht="66.75" customHeight="1" x14ac:dyDescent="0.25">
      <c r="A181" s="5" t="str">
        <f>"Glufosinate-ammonium"</f>
        <v>Glufosinate-ammonium</v>
      </c>
      <c r="B181" s="1" t="s">
        <v>629</v>
      </c>
      <c r="C181" s="1" t="s">
        <v>152</v>
      </c>
      <c r="D181" s="1" t="s">
        <v>150</v>
      </c>
      <c r="E181" s="1">
        <v>10</v>
      </c>
      <c r="F181" s="1" t="s">
        <v>151</v>
      </c>
      <c r="G181" s="1" t="s">
        <v>630</v>
      </c>
      <c r="H181" s="6" t="s">
        <v>631</v>
      </c>
    </row>
    <row r="182" spans="1:8" ht="51" customHeight="1" x14ac:dyDescent="0.25">
      <c r="A182" s="5" t="str">
        <f>"Glyphosate"</f>
        <v>Glyphosate</v>
      </c>
      <c r="B182" s="1" t="s">
        <v>632</v>
      </c>
      <c r="C182" s="1" t="s">
        <v>634</v>
      </c>
      <c r="D182" s="1" t="s">
        <v>30</v>
      </c>
      <c r="E182" s="1">
        <v>9</v>
      </c>
      <c r="F182" s="1" t="s">
        <v>633</v>
      </c>
      <c r="G182" s="1" t="s">
        <v>635</v>
      </c>
      <c r="H182" s="6" t="s">
        <v>636</v>
      </c>
    </row>
    <row r="183" spans="1:8" ht="95.5" customHeight="1" x14ac:dyDescent="0.25">
      <c r="A183" s="5" t="str">
        <f>"Halauxifen"</f>
        <v>Halauxifen</v>
      </c>
      <c r="B183" s="1" t="s">
        <v>637</v>
      </c>
      <c r="C183" s="1" t="s">
        <v>6</v>
      </c>
      <c r="D183" s="1" t="s">
        <v>546</v>
      </c>
      <c r="E183" s="1">
        <v>4</v>
      </c>
      <c r="F183" s="1" t="s">
        <v>5</v>
      </c>
      <c r="G183" s="1" t="s">
        <v>638</v>
      </c>
      <c r="H183" s="6" t="s">
        <v>639</v>
      </c>
    </row>
    <row r="184" spans="1:8" ht="105.65" customHeight="1" x14ac:dyDescent="0.25">
      <c r="A184" s="5" t="str">
        <f>"Halosulfuron-methyl"</f>
        <v>Halosulfuron-methyl</v>
      </c>
      <c r="B184" s="1" t="s">
        <v>640</v>
      </c>
      <c r="C184" s="1" t="s">
        <v>56</v>
      </c>
      <c r="D184" s="1" t="s">
        <v>54</v>
      </c>
      <c r="E184" s="1">
        <v>2</v>
      </c>
      <c r="F184" s="1" t="s">
        <v>55</v>
      </c>
      <c r="G184" s="1" t="s">
        <v>641</v>
      </c>
      <c r="H184" s="6" t="s">
        <v>642</v>
      </c>
    </row>
    <row r="185" spans="1:8" ht="106.15" customHeight="1" x14ac:dyDescent="0.25">
      <c r="A185" s="5" t="str">
        <f>"Haloxyfop-methyl"</f>
        <v>Haloxyfop-methyl</v>
      </c>
      <c r="B185" s="1" t="s">
        <v>643</v>
      </c>
      <c r="C185" s="1" t="s">
        <v>43</v>
      </c>
      <c r="D185" s="1" t="s">
        <v>312</v>
      </c>
      <c r="E185" s="1">
        <v>1</v>
      </c>
      <c r="F185" s="1" t="s">
        <v>42</v>
      </c>
      <c r="G185" s="1" t="s">
        <v>644</v>
      </c>
      <c r="H185" s="6" t="s">
        <v>645</v>
      </c>
    </row>
    <row r="186" spans="1:8" ht="88.15" customHeight="1" x14ac:dyDescent="0.25">
      <c r="A186" s="5" t="str">
        <f>"Hexazinone"</f>
        <v>Hexazinone</v>
      </c>
      <c r="B186" s="1" t="s">
        <v>646</v>
      </c>
      <c r="C186" s="1" t="s">
        <v>49</v>
      </c>
      <c r="D186" s="1" t="s">
        <v>498</v>
      </c>
      <c r="E186" s="1">
        <v>5</v>
      </c>
      <c r="F186" s="1" t="s">
        <v>48</v>
      </c>
      <c r="G186" s="1" t="s">
        <v>647</v>
      </c>
      <c r="H186" s="6" t="s">
        <v>648</v>
      </c>
    </row>
    <row r="187" spans="1:8" ht="106.15" customHeight="1" x14ac:dyDescent="0.25">
      <c r="A187" s="5" t="str">
        <f>"Icafolin-methyl"</f>
        <v>Icafolin-methyl</v>
      </c>
      <c r="B187" s="1" t="s">
        <v>649</v>
      </c>
      <c r="C187" s="1" t="s">
        <v>1179</v>
      </c>
      <c r="D187" s="1" t="s">
        <v>30</v>
      </c>
      <c r="E187" s="1">
        <v>23</v>
      </c>
      <c r="G187" s="1" t="s">
        <v>650</v>
      </c>
      <c r="H187" s="6"/>
    </row>
    <row r="188" spans="1:8" ht="106.15" customHeight="1" x14ac:dyDescent="0.25">
      <c r="A188" s="5" t="str">
        <f>"Imazamethabenz-methyl"</f>
        <v>Imazamethabenz-methyl</v>
      </c>
      <c r="B188" s="1" t="s">
        <v>651</v>
      </c>
      <c r="C188" s="1" t="s">
        <v>56</v>
      </c>
      <c r="D188" s="1" t="s">
        <v>652</v>
      </c>
      <c r="E188" s="1">
        <v>2</v>
      </c>
      <c r="F188" s="1" t="s">
        <v>55</v>
      </c>
      <c r="G188" s="1" t="s">
        <v>653</v>
      </c>
      <c r="H188" s="6" t="s">
        <v>654</v>
      </c>
    </row>
    <row r="189" spans="1:8" ht="106.15" customHeight="1" x14ac:dyDescent="0.25">
      <c r="A189" s="5" t="str">
        <f>"Imazamox"</f>
        <v>Imazamox</v>
      </c>
      <c r="B189" s="1" t="s">
        <v>655</v>
      </c>
      <c r="C189" s="1" t="s">
        <v>56</v>
      </c>
      <c r="D189" s="1" t="s">
        <v>652</v>
      </c>
      <c r="E189" s="1">
        <v>2</v>
      </c>
      <c r="F189" s="1" t="s">
        <v>55</v>
      </c>
      <c r="G189" s="1" t="s">
        <v>656</v>
      </c>
      <c r="H189" s="6" t="s">
        <v>657</v>
      </c>
    </row>
    <row r="190" spans="1:8" ht="104.5" customHeight="1" x14ac:dyDescent="0.25">
      <c r="A190" s="5" t="str">
        <f>"Imazapic"</f>
        <v>Imazapic</v>
      </c>
      <c r="B190" s="1" t="s">
        <v>658</v>
      </c>
      <c r="C190" s="1" t="s">
        <v>56</v>
      </c>
      <c r="D190" s="1" t="s">
        <v>652</v>
      </c>
      <c r="E190" s="1">
        <v>2</v>
      </c>
      <c r="F190" s="1" t="s">
        <v>55</v>
      </c>
      <c r="G190" s="1" t="s">
        <v>659</v>
      </c>
      <c r="H190" s="6" t="s">
        <v>660</v>
      </c>
    </row>
    <row r="191" spans="1:8" ht="104.5" customHeight="1" x14ac:dyDescent="0.25">
      <c r="A191" s="5" t="str">
        <f>"Imazapyr"</f>
        <v>Imazapyr</v>
      </c>
      <c r="B191" s="1" t="s">
        <v>661</v>
      </c>
      <c r="C191" s="1" t="s">
        <v>56</v>
      </c>
      <c r="D191" s="1" t="s">
        <v>652</v>
      </c>
      <c r="E191" s="1">
        <v>2</v>
      </c>
      <c r="F191" s="1" t="s">
        <v>55</v>
      </c>
      <c r="G191" s="1" t="s">
        <v>662</v>
      </c>
      <c r="H191" s="6" t="s">
        <v>663</v>
      </c>
    </row>
    <row r="192" spans="1:8" ht="104.5" customHeight="1" x14ac:dyDescent="0.25">
      <c r="A192" s="5" t="str">
        <f>"Imazaquin"</f>
        <v>Imazaquin</v>
      </c>
      <c r="B192" s="1" t="s">
        <v>664</v>
      </c>
      <c r="C192" s="1" t="s">
        <v>56</v>
      </c>
      <c r="D192" s="1" t="s">
        <v>652</v>
      </c>
      <c r="E192" s="1">
        <v>2</v>
      </c>
      <c r="F192" s="1" t="s">
        <v>55</v>
      </c>
      <c r="G192" s="1" t="s">
        <v>665</v>
      </c>
      <c r="H192" s="6" t="s">
        <v>666</v>
      </c>
    </row>
    <row r="193" spans="1:8" ht="104.5" customHeight="1" x14ac:dyDescent="0.25">
      <c r="A193" s="5" t="str">
        <f>"Imazethapyr"</f>
        <v>Imazethapyr</v>
      </c>
      <c r="B193" s="1" t="s">
        <v>667</v>
      </c>
      <c r="C193" s="1" t="s">
        <v>56</v>
      </c>
      <c r="D193" s="1" t="s">
        <v>652</v>
      </c>
      <c r="E193" s="1">
        <v>2</v>
      </c>
      <c r="F193" s="1" t="s">
        <v>55</v>
      </c>
      <c r="G193" s="1" t="s">
        <v>668</v>
      </c>
      <c r="H193" s="6" t="s">
        <v>669</v>
      </c>
    </row>
    <row r="194" spans="1:8" ht="106.15" customHeight="1" x14ac:dyDescent="0.25">
      <c r="A194" s="5" t="str">
        <f>"Imazosulfuron"</f>
        <v>Imazosulfuron</v>
      </c>
      <c r="B194" s="1" t="s">
        <v>670</v>
      </c>
      <c r="C194" s="1" t="s">
        <v>56</v>
      </c>
      <c r="D194" s="1" t="s">
        <v>54</v>
      </c>
      <c r="E194" s="1">
        <v>2</v>
      </c>
      <c r="F194" s="1" t="s">
        <v>55</v>
      </c>
      <c r="G194" s="1" t="s">
        <v>671</v>
      </c>
      <c r="H194" s="6" t="s">
        <v>672</v>
      </c>
    </row>
    <row r="195" spans="1:8" ht="95.5" customHeight="1" x14ac:dyDescent="0.25">
      <c r="A195" s="5" t="str">
        <f>"Indanofan"</f>
        <v>Indanofan</v>
      </c>
      <c r="B195" s="1" t="s">
        <v>673</v>
      </c>
      <c r="C195" s="1" t="s">
        <v>20</v>
      </c>
      <c r="D195" s="1" t="s">
        <v>674</v>
      </c>
      <c r="E195" s="1">
        <v>15</v>
      </c>
      <c r="F195" s="1" t="s">
        <v>19</v>
      </c>
      <c r="G195" s="1" t="s">
        <v>675</v>
      </c>
      <c r="H195" s="6" t="s">
        <v>676</v>
      </c>
    </row>
    <row r="196" spans="1:8" ht="106.15" customHeight="1" x14ac:dyDescent="0.25">
      <c r="A196" s="5" t="str">
        <f>"Indaziflam"</f>
        <v>Indaziflam</v>
      </c>
      <c r="B196" s="1" t="s">
        <v>677</v>
      </c>
      <c r="C196" s="1" t="s">
        <v>295</v>
      </c>
      <c r="D196" s="1" t="s">
        <v>678</v>
      </c>
      <c r="E196" s="1">
        <v>29</v>
      </c>
      <c r="F196" s="1" t="s">
        <v>294</v>
      </c>
      <c r="G196" s="1" t="s">
        <v>679</v>
      </c>
      <c r="H196" s="6" t="s">
        <v>680</v>
      </c>
    </row>
    <row r="197" spans="1:8" ht="105.65" customHeight="1" x14ac:dyDescent="0.25">
      <c r="A197" s="5" t="str">
        <f>"Iodosulfuron-methyl-Na"</f>
        <v>Iodosulfuron-methyl-Na</v>
      </c>
      <c r="B197" s="1" t="s">
        <v>681</v>
      </c>
      <c r="C197" s="1" t="s">
        <v>56</v>
      </c>
      <c r="D197" s="1" t="s">
        <v>54</v>
      </c>
      <c r="E197" s="1">
        <v>2</v>
      </c>
      <c r="F197" s="1" t="s">
        <v>55</v>
      </c>
      <c r="G197" s="1" t="s">
        <v>682</v>
      </c>
      <c r="H197" s="6" t="s">
        <v>683</v>
      </c>
    </row>
    <row r="198" spans="1:8" ht="79.150000000000006" customHeight="1" x14ac:dyDescent="0.25">
      <c r="A198" s="5" t="str">
        <f>"Ioxynil"</f>
        <v>Ioxynil</v>
      </c>
      <c r="B198" s="1" t="s">
        <v>684</v>
      </c>
      <c r="C198" s="1" t="s">
        <v>131</v>
      </c>
      <c r="D198" s="1" t="s">
        <v>180</v>
      </c>
      <c r="E198" s="1">
        <v>6</v>
      </c>
      <c r="F198" s="1" t="s">
        <v>130</v>
      </c>
      <c r="G198" s="1" t="s">
        <v>685</v>
      </c>
      <c r="H198" s="6" t="s">
        <v>686</v>
      </c>
    </row>
    <row r="199" spans="1:8" ht="91" customHeight="1" x14ac:dyDescent="0.25">
      <c r="A199" s="5" t="str">
        <f>"Ipazine"</f>
        <v>Ipazine</v>
      </c>
      <c r="B199" s="1" t="s">
        <v>687</v>
      </c>
      <c r="C199" s="1" t="s">
        <v>82</v>
      </c>
      <c r="D199" s="1" t="s">
        <v>47</v>
      </c>
      <c r="E199" s="1">
        <v>5</v>
      </c>
      <c r="F199" s="1" t="s">
        <v>81</v>
      </c>
      <c r="G199" s="1" t="s">
        <v>688</v>
      </c>
      <c r="H199" s="6" t="s">
        <v>689</v>
      </c>
    </row>
    <row r="200" spans="1:8" ht="86.5" customHeight="1" x14ac:dyDescent="0.25">
      <c r="A200" s="5" t="str">
        <f>"Ipfencarbazone"</f>
        <v>Ipfencarbazone</v>
      </c>
      <c r="B200" s="1" t="s">
        <v>690</v>
      </c>
      <c r="C200" s="1" t="s">
        <v>20</v>
      </c>
      <c r="D200" s="1" t="s">
        <v>227</v>
      </c>
      <c r="E200" s="1">
        <v>15</v>
      </c>
      <c r="F200" s="1" t="s">
        <v>19</v>
      </c>
      <c r="G200" s="1" t="s">
        <v>691</v>
      </c>
      <c r="H200" s="6" t="s">
        <v>692</v>
      </c>
    </row>
    <row r="201" spans="1:8" ht="97.15" customHeight="1" x14ac:dyDescent="0.25">
      <c r="A201" s="5" t="str">
        <f>"Iptriazopyrid"</f>
        <v>Iptriazopyrid</v>
      </c>
      <c r="B201" s="1" t="s">
        <v>693</v>
      </c>
      <c r="C201" s="1" t="s">
        <v>137</v>
      </c>
      <c r="D201" s="1" t="s">
        <v>694</v>
      </c>
      <c r="E201" s="1">
        <v>27</v>
      </c>
      <c r="G201" s="1" t="s">
        <v>695</v>
      </c>
      <c r="H201" s="6"/>
    </row>
    <row r="202" spans="1:8" ht="87.65" customHeight="1" x14ac:dyDescent="0.25">
      <c r="A202" s="5" t="str">
        <f>"Isocil"</f>
        <v>Isocil</v>
      </c>
      <c r="B202" s="1" t="s">
        <v>696</v>
      </c>
      <c r="C202" s="1" t="s">
        <v>82</v>
      </c>
      <c r="D202" s="1" t="s">
        <v>170</v>
      </c>
      <c r="E202" s="1">
        <v>5</v>
      </c>
      <c r="F202" s="1" t="s">
        <v>81</v>
      </c>
      <c r="G202" s="1" t="s">
        <v>697</v>
      </c>
      <c r="H202" s="6" t="s">
        <v>698</v>
      </c>
    </row>
    <row r="203" spans="1:8" ht="83.65" customHeight="1" x14ac:dyDescent="0.25">
      <c r="A203" s="5" t="str">
        <f>"Isomethiozin"</f>
        <v>Isomethiozin</v>
      </c>
      <c r="B203" s="1" t="s">
        <v>699</v>
      </c>
      <c r="C203" s="1" t="s">
        <v>82</v>
      </c>
      <c r="D203" s="1" t="s">
        <v>498</v>
      </c>
      <c r="E203" s="1">
        <v>5</v>
      </c>
      <c r="F203" s="1" t="s">
        <v>81</v>
      </c>
      <c r="G203" s="1" t="s">
        <v>700</v>
      </c>
      <c r="H203" s="6" t="s">
        <v>701</v>
      </c>
    </row>
    <row r="204" spans="1:8" ht="106.15" customHeight="1" x14ac:dyDescent="0.25">
      <c r="A204" s="5" t="str">
        <f>"Isopropalin"</f>
        <v>Isopropalin</v>
      </c>
      <c r="B204" s="1" t="s">
        <v>702</v>
      </c>
      <c r="C204" s="1" t="s">
        <v>1180</v>
      </c>
      <c r="D204" s="1" t="s">
        <v>113</v>
      </c>
      <c r="E204" s="1">
        <v>3</v>
      </c>
      <c r="F204" s="1" t="s">
        <v>114</v>
      </c>
      <c r="G204" s="1" t="s">
        <v>703</v>
      </c>
      <c r="H204" s="6" t="s">
        <v>704</v>
      </c>
    </row>
    <row r="205" spans="1:8" ht="80.25" customHeight="1" x14ac:dyDescent="0.25">
      <c r="A205" s="5" t="str">
        <f>"Isoproturon"</f>
        <v>Isoproturon</v>
      </c>
      <c r="B205" s="1" t="s">
        <v>705</v>
      </c>
      <c r="C205" s="1" t="s">
        <v>49</v>
      </c>
      <c r="D205" s="1" t="s">
        <v>145</v>
      </c>
      <c r="E205" s="1">
        <v>5</v>
      </c>
      <c r="F205" s="1" t="s">
        <v>146</v>
      </c>
      <c r="G205" s="1" t="s">
        <v>706</v>
      </c>
      <c r="H205" s="6" t="s">
        <v>707</v>
      </c>
    </row>
    <row r="206" spans="1:8" ht="88.15" customHeight="1" x14ac:dyDescent="0.25">
      <c r="A206" s="5" t="str">
        <f>"Isouron"</f>
        <v>Isouron</v>
      </c>
      <c r="B206" s="1" t="s">
        <v>708</v>
      </c>
      <c r="C206" s="1" t="s">
        <v>82</v>
      </c>
      <c r="D206" s="1" t="s">
        <v>145</v>
      </c>
      <c r="E206" s="1">
        <v>5</v>
      </c>
      <c r="F206" s="1" t="s">
        <v>146</v>
      </c>
      <c r="G206" s="1" t="s">
        <v>709</v>
      </c>
      <c r="H206" s="6" t="s">
        <v>710</v>
      </c>
    </row>
    <row r="207" spans="1:8" ht="105.65" customHeight="1" x14ac:dyDescent="0.25">
      <c r="A207" s="5" t="str">
        <f>"Isoxaben"</f>
        <v>Isoxaben</v>
      </c>
      <c r="B207" s="1" t="s">
        <v>711</v>
      </c>
      <c r="C207" s="1" t="s">
        <v>295</v>
      </c>
      <c r="D207" s="1" t="s">
        <v>30</v>
      </c>
      <c r="E207" s="1">
        <v>29</v>
      </c>
      <c r="F207" s="1" t="s">
        <v>294</v>
      </c>
      <c r="G207" s="1" t="s">
        <v>712</v>
      </c>
      <c r="H207" s="6" t="s">
        <v>713</v>
      </c>
    </row>
    <row r="208" spans="1:8" ht="102.75" customHeight="1" x14ac:dyDescent="0.25">
      <c r="A208" s="5" t="str">
        <f>"Isoxaflutole"</f>
        <v>Isoxaflutole</v>
      </c>
      <c r="B208" s="1" t="s">
        <v>714</v>
      </c>
      <c r="C208" s="1" t="s">
        <v>137</v>
      </c>
      <c r="D208" s="1" t="s">
        <v>30</v>
      </c>
      <c r="E208" s="1">
        <v>27</v>
      </c>
      <c r="F208" s="1" t="s">
        <v>136</v>
      </c>
      <c r="G208" s="1" t="s">
        <v>715</v>
      </c>
      <c r="H208" s="6" t="s">
        <v>716</v>
      </c>
    </row>
    <row r="209" spans="1:8" ht="106.15" customHeight="1" x14ac:dyDescent="0.25">
      <c r="A209" s="5" t="str">
        <f>"Isoxapyrifop"</f>
        <v>Isoxapyrifop</v>
      </c>
      <c r="B209" s="1" t="s">
        <v>717</v>
      </c>
      <c r="C209" s="1" t="s">
        <v>43</v>
      </c>
      <c r="D209" s="1" t="s">
        <v>312</v>
      </c>
      <c r="E209" s="1">
        <v>1</v>
      </c>
      <c r="F209" s="1" t="s">
        <v>42</v>
      </c>
      <c r="G209" s="1" t="s">
        <v>718</v>
      </c>
      <c r="H209" s="6" t="s">
        <v>719</v>
      </c>
    </row>
    <row r="210" spans="1:8" ht="106.15" customHeight="1" x14ac:dyDescent="0.25">
      <c r="A210" s="5" t="str">
        <f>"Lactofen"</f>
        <v>Lactofen</v>
      </c>
      <c r="B210" s="1" t="s">
        <v>720</v>
      </c>
      <c r="C210" s="1" t="s">
        <v>26</v>
      </c>
      <c r="D210" s="1" t="s">
        <v>24</v>
      </c>
      <c r="E210" s="1">
        <v>14</v>
      </c>
      <c r="F210" s="1" t="s">
        <v>25</v>
      </c>
      <c r="G210" s="1" t="s">
        <v>721</v>
      </c>
      <c r="H210" s="6" t="s">
        <v>722</v>
      </c>
    </row>
    <row r="211" spans="1:8" ht="89.9" customHeight="1" x14ac:dyDescent="0.25">
      <c r="A211" s="5" t="str">
        <f>"Lenacil"</f>
        <v>Lenacil</v>
      </c>
      <c r="B211" s="1" t="s">
        <v>723</v>
      </c>
      <c r="C211" s="1" t="s">
        <v>49</v>
      </c>
      <c r="D211" s="1" t="s">
        <v>170</v>
      </c>
      <c r="E211" s="1">
        <v>5</v>
      </c>
      <c r="F211" s="1" t="s">
        <v>48</v>
      </c>
      <c r="G211" s="1" t="s">
        <v>724</v>
      </c>
      <c r="H211" s="6" t="s">
        <v>725</v>
      </c>
    </row>
    <row r="212" spans="1:8" ht="75.75" customHeight="1" x14ac:dyDescent="0.25">
      <c r="A212" s="5" t="str">
        <f>"Linuron"</f>
        <v>Linuron</v>
      </c>
      <c r="B212" s="1" t="s">
        <v>726</v>
      </c>
      <c r="C212" s="1" t="s">
        <v>49</v>
      </c>
      <c r="D212" s="1" t="s">
        <v>145</v>
      </c>
      <c r="E212" s="1">
        <v>5</v>
      </c>
      <c r="F212" s="1" t="s">
        <v>48</v>
      </c>
      <c r="G212" s="1" t="s">
        <v>727</v>
      </c>
      <c r="H212" s="6" t="s">
        <v>728</v>
      </c>
    </row>
    <row r="213" spans="1:8" ht="71.25" customHeight="1" x14ac:dyDescent="0.25">
      <c r="A213" s="5" t="str">
        <f>"MCPA"</f>
        <v>MCPA</v>
      </c>
      <c r="B213" s="1" t="s">
        <v>729</v>
      </c>
      <c r="C213" s="1" t="s">
        <v>6</v>
      </c>
      <c r="D213" s="1" t="s">
        <v>2</v>
      </c>
      <c r="E213" s="1">
        <v>4</v>
      </c>
      <c r="F213" s="1" t="s">
        <v>5</v>
      </c>
      <c r="G213" s="1" t="s">
        <v>730</v>
      </c>
      <c r="H213" s="6" t="s">
        <v>731</v>
      </c>
    </row>
    <row r="214" spans="1:8" ht="71.25" customHeight="1" x14ac:dyDescent="0.25">
      <c r="A214" s="5" t="str">
        <f>"MCPB"</f>
        <v>MCPB</v>
      </c>
      <c r="B214" s="1" t="s">
        <v>732</v>
      </c>
      <c r="C214" s="1" t="s">
        <v>6</v>
      </c>
      <c r="D214" s="1" t="s">
        <v>2</v>
      </c>
      <c r="E214" s="1">
        <v>4</v>
      </c>
      <c r="F214" s="1" t="s">
        <v>5</v>
      </c>
      <c r="G214" s="1" t="s">
        <v>733</v>
      </c>
      <c r="H214" s="6" t="s">
        <v>734</v>
      </c>
    </row>
    <row r="215" spans="1:8" ht="51" customHeight="1" x14ac:dyDescent="0.25">
      <c r="A215" s="5" t="str">
        <f>"MSMA"</f>
        <v>MSMA</v>
      </c>
      <c r="B215" s="1" t="s">
        <v>735</v>
      </c>
      <c r="C215" s="1" t="s">
        <v>68</v>
      </c>
      <c r="E215" s="1">
        <v>0</v>
      </c>
      <c r="F215" s="1" t="s">
        <v>126</v>
      </c>
      <c r="G215" s="1" t="s">
        <v>736</v>
      </c>
      <c r="H215" s="6" t="s">
        <v>737</v>
      </c>
    </row>
    <row r="216" spans="1:8" ht="71.25" customHeight="1" x14ac:dyDescent="0.25">
      <c r="A216" s="5" t="str">
        <f>"Mecoprop"</f>
        <v>Mecoprop</v>
      </c>
      <c r="B216" s="1" t="s">
        <v>738</v>
      </c>
      <c r="C216" s="1" t="s">
        <v>6</v>
      </c>
      <c r="D216" s="1" t="s">
        <v>2</v>
      </c>
      <c r="E216" s="1">
        <v>4</v>
      </c>
      <c r="F216" s="1" t="s">
        <v>5</v>
      </c>
      <c r="G216" s="1" t="s">
        <v>739</v>
      </c>
      <c r="H216" s="6" t="s">
        <v>740</v>
      </c>
    </row>
    <row r="217" spans="1:8" ht="95.5" customHeight="1" x14ac:dyDescent="0.25">
      <c r="A217" s="5" t="str">
        <f>"Medinoterb"</f>
        <v>Medinoterb</v>
      </c>
      <c r="B217" s="1" t="s">
        <v>741</v>
      </c>
      <c r="C217" s="1" t="s">
        <v>372</v>
      </c>
      <c r="D217" s="1" t="s">
        <v>370</v>
      </c>
      <c r="E217" s="1">
        <v>24</v>
      </c>
      <c r="F217" s="1" t="s">
        <v>371</v>
      </c>
      <c r="G217" s="1" t="s">
        <v>742</v>
      </c>
      <c r="H217" s="6" t="s">
        <v>448</v>
      </c>
    </row>
    <row r="218" spans="1:8" ht="80.900000000000006" customHeight="1" x14ac:dyDescent="0.25">
      <c r="A218" s="5" t="str">
        <f>"Mefenacet"</f>
        <v>Mefenacet</v>
      </c>
      <c r="B218" s="1" t="s">
        <v>743</v>
      </c>
      <c r="C218" s="1" t="s">
        <v>20</v>
      </c>
      <c r="D218" s="1" t="s">
        <v>563</v>
      </c>
      <c r="E218" s="1">
        <v>15</v>
      </c>
      <c r="F218" s="1" t="s">
        <v>19</v>
      </c>
      <c r="G218" s="1" t="s">
        <v>744</v>
      </c>
      <c r="H218" s="6" t="s">
        <v>745</v>
      </c>
    </row>
    <row r="219" spans="1:8" ht="89.25" customHeight="1" x14ac:dyDescent="0.25">
      <c r="A219" s="5" t="str">
        <f>"Mefluidide"</f>
        <v>Mefluidide</v>
      </c>
      <c r="B219" s="1" t="s">
        <v>746</v>
      </c>
      <c r="C219" s="1" t="s">
        <v>68</v>
      </c>
      <c r="D219" s="1" t="s">
        <v>747</v>
      </c>
      <c r="E219" s="1">
        <v>0</v>
      </c>
      <c r="F219" s="1" t="s">
        <v>126</v>
      </c>
      <c r="G219" s="1" t="s">
        <v>748</v>
      </c>
      <c r="H219" s="6" t="s">
        <v>749</v>
      </c>
    </row>
    <row r="220" spans="1:8" ht="106.15" customHeight="1" x14ac:dyDescent="0.25">
      <c r="A220" s="5" t="str">
        <f>"Mesosulfuron-methyl"</f>
        <v>Mesosulfuron-methyl</v>
      </c>
      <c r="B220" s="1" t="s">
        <v>750</v>
      </c>
      <c r="C220" s="1" t="s">
        <v>56</v>
      </c>
      <c r="D220" s="1" t="s">
        <v>54</v>
      </c>
      <c r="E220" s="1">
        <v>2</v>
      </c>
      <c r="F220" s="1" t="s">
        <v>55</v>
      </c>
      <c r="G220" s="1" t="s">
        <v>751</v>
      </c>
      <c r="H220" s="6" t="s">
        <v>752</v>
      </c>
    </row>
    <row r="221" spans="1:8" ht="93.25" customHeight="1" x14ac:dyDescent="0.25">
      <c r="A221" s="5" t="str">
        <f>"Mesotrione"</f>
        <v>Mesotrione</v>
      </c>
      <c r="B221" s="1" t="s">
        <v>753</v>
      </c>
      <c r="C221" s="1" t="s">
        <v>137</v>
      </c>
      <c r="D221" s="1" t="s">
        <v>135</v>
      </c>
      <c r="E221" s="1">
        <v>27</v>
      </c>
      <c r="F221" s="1" t="s">
        <v>136</v>
      </c>
      <c r="G221" s="1" t="s">
        <v>754</v>
      </c>
      <c r="H221" s="6" t="s">
        <v>755</v>
      </c>
    </row>
    <row r="222" spans="1:8" ht="106.15" customHeight="1" x14ac:dyDescent="0.25">
      <c r="A222" s="5" t="str">
        <f>"Metamifop"</f>
        <v>Metamifop</v>
      </c>
      <c r="B222" s="1" t="s">
        <v>756</v>
      </c>
      <c r="C222" s="1" t="s">
        <v>43</v>
      </c>
      <c r="D222" s="1" t="s">
        <v>312</v>
      </c>
      <c r="E222" s="1">
        <v>1</v>
      </c>
      <c r="F222" s="1" t="s">
        <v>42</v>
      </c>
      <c r="G222" s="1" t="s">
        <v>757</v>
      </c>
      <c r="H222" s="6" t="s">
        <v>758</v>
      </c>
    </row>
    <row r="223" spans="1:8" ht="75.75" customHeight="1" x14ac:dyDescent="0.25">
      <c r="A223" s="5" t="str">
        <f>"Metamitron"</f>
        <v>Metamitron</v>
      </c>
      <c r="B223" s="1" t="s">
        <v>759</v>
      </c>
      <c r="C223" s="1" t="s">
        <v>49</v>
      </c>
      <c r="D223" s="1" t="s">
        <v>498</v>
      </c>
      <c r="E223" s="1">
        <v>5</v>
      </c>
      <c r="F223" s="1" t="s">
        <v>48</v>
      </c>
      <c r="G223" s="1" t="s">
        <v>760</v>
      </c>
      <c r="H223" s="6" t="s">
        <v>761</v>
      </c>
    </row>
    <row r="224" spans="1:8" ht="91" customHeight="1" x14ac:dyDescent="0.25">
      <c r="A224" s="5" t="str">
        <f>"Metazachlor"</f>
        <v>Metazachlor</v>
      </c>
      <c r="B224" s="1" t="s">
        <v>762</v>
      </c>
      <c r="C224" s="1" t="s">
        <v>20</v>
      </c>
      <c r="D224" s="1" t="s">
        <v>18</v>
      </c>
      <c r="E224" s="1">
        <v>15</v>
      </c>
      <c r="F224" s="1" t="s">
        <v>19</v>
      </c>
      <c r="G224" s="1" t="s">
        <v>763</v>
      </c>
      <c r="H224" s="6" t="s">
        <v>764</v>
      </c>
    </row>
    <row r="225" spans="1:8" ht="106.15" customHeight="1" x14ac:dyDescent="0.25">
      <c r="A225" s="5" t="str">
        <f>"Metazosulfuron"</f>
        <v>Metazosulfuron</v>
      </c>
      <c r="B225" s="1" t="s">
        <v>765</v>
      </c>
      <c r="C225" s="1" t="s">
        <v>56</v>
      </c>
      <c r="D225" s="1" t="s">
        <v>54</v>
      </c>
      <c r="E225" s="1">
        <v>2</v>
      </c>
      <c r="F225" s="1" t="s">
        <v>55</v>
      </c>
      <c r="G225" s="1" t="s">
        <v>766</v>
      </c>
      <c r="H225" s="6" t="s">
        <v>767</v>
      </c>
    </row>
    <row r="226" spans="1:8" ht="73.5" customHeight="1" x14ac:dyDescent="0.25">
      <c r="A226" s="5" t="str">
        <f>"Methabenzthiazuron"</f>
        <v>Methabenzthiazuron</v>
      </c>
      <c r="B226" s="1" t="s">
        <v>768</v>
      </c>
      <c r="C226" s="1" t="s">
        <v>49</v>
      </c>
      <c r="D226" s="1" t="s">
        <v>145</v>
      </c>
      <c r="E226" s="1">
        <v>5</v>
      </c>
      <c r="F226" s="1" t="s">
        <v>48</v>
      </c>
      <c r="G226" s="1" t="s">
        <v>769</v>
      </c>
      <c r="H226" s="6" t="s">
        <v>770</v>
      </c>
    </row>
    <row r="227" spans="1:8" ht="71.900000000000006" customHeight="1" x14ac:dyDescent="0.25">
      <c r="A227" s="5" t="str">
        <f>"Methiozolin"</f>
        <v>Methiozolin</v>
      </c>
      <c r="B227" s="1" t="s">
        <v>771</v>
      </c>
      <c r="C227" s="1" t="s">
        <v>176</v>
      </c>
      <c r="D227" s="1" t="s">
        <v>302</v>
      </c>
      <c r="E227" s="1">
        <v>30</v>
      </c>
      <c r="F227" s="1" t="s">
        <v>175</v>
      </c>
      <c r="G227" s="1" t="s">
        <v>772</v>
      </c>
      <c r="H227" s="6" t="s">
        <v>773</v>
      </c>
    </row>
    <row r="228" spans="1:8" ht="75.25" customHeight="1" x14ac:dyDescent="0.25">
      <c r="A228" s="5" t="str">
        <f>"Methoprotryne/Methoprotryn"</f>
        <v>Methoprotryne/Methoprotryn</v>
      </c>
      <c r="B228" s="1" t="s">
        <v>774</v>
      </c>
      <c r="C228" s="1" t="s">
        <v>82</v>
      </c>
      <c r="D228" s="1" t="s">
        <v>47</v>
      </c>
      <c r="E228" s="1">
        <v>5</v>
      </c>
      <c r="F228" s="1" t="s">
        <v>81</v>
      </c>
      <c r="G228" s="1" t="s">
        <v>775</v>
      </c>
      <c r="H228" s="6" t="s">
        <v>776</v>
      </c>
    </row>
    <row r="229" spans="1:8" ht="71.900000000000006" customHeight="1" x14ac:dyDescent="0.25">
      <c r="A229" s="5" t="str">
        <f>"Methyldymron"</f>
        <v>Methyldymron</v>
      </c>
      <c r="B229" s="1" t="s">
        <v>777</v>
      </c>
      <c r="C229" s="1" t="s">
        <v>68</v>
      </c>
      <c r="E229" s="1">
        <v>0</v>
      </c>
      <c r="F229" s="1" t="s">
        <v>126</v>
      </c>
      <c r="G229" s="1" t="s">
        <v>778</v>
      </c>
      <c r="H229" s="6" t="s">
        <v>472</v>
      </c>
    </row>
    <row r="230" spans="1:8" ht="87.65" customHeight="1" x14ac:dyDescent="0.25">
      <c r="A230" s="5" t="str">
        <f>"Metobenzuron"</f>
        <v>Metobenzuron</v>
      </c>
      <c r="B230" s="1" t="s">
        <v>779</v>
      </c>
      <c r="C230" s="1" t="s">
        <v>82</v>
      </c>
      <c r="D230" s="1" t="s">
        <v>145</v>
      </c>
      <c r="E230" s="1">
        <v>5</v>
      </c>
      <c r="F230" s="1" t="s">
        <v>146</v>
      </c>
      <c r="G230" s="1" t="s">
        <v>780</v>
      </c>
      <c r="H230" s="6" t="s">
        <v>781</v>
      </c>
    </row>
    <row r="231" spans="1:8" ht="75.75" customHeight="1" x14ac:dyDescent="0.25">
      <c r="A231" s="5" t="str">
        <f>"Metobromuron"</f>
        <v>Metobromuron</v>
      </c>
      <c r="B231" s="1" t="s">
        <v>782</v>
      </c>
      <c r="C231" s="1" t="s">
        <v>49</v>
      </c>
      <c r="D231" s="1" t="s">
        <v>145</v>
      </c>
      <c r="E231" s="1">
        <v>5</v>
      </c>
      <c r="F231" s="1" t="s">
        <v>48</v>
      </c>
      <c r="G231" s="1" t="s">
        <v>783</v>
      </c>
      <c r="H231" s="6" t="s">
        <v>784</v>
      </c>
    </row>
    <row r="232" spans="1:8" ht="106.15" customHeight="1" x14ac:dyDescent="0.25">
      <c r="A232" s="5" t="str">
        <f>"Metolachlor"</f>
        <v>Metolachlor</v>
      </c>
      <c r="B232" s="1" t="s">
        <v>785</v>
      </c>
      <c r="C232" s="1" t="s">
        <v>20</v>
      </c>
      <c r="D232" s="1" t="s">
        <v>18</v>
      </c>
      <c r="E232" s="1">
        <v>15</v>
      </c>
      <c r="F232" s="1" t="s">
        <v>19</v>
      </c>
      <c r="G232" s="1" t="s">
        <v>786</v>
      </c>
      <c r="H232" s="6" t="s">
        <v>385</v>
      </c>
    </row>
    <row r="233" spans="1:8" ht="106.15" customHeight="1" x14ac:dyDescent="0.25">
      <c r="A233" s="5" t="str">
        <f>"Metosulam"</f>
        <v>Metosulam</v>
      </c>
      <c r="B233" s="1" t="s">
        <v>787</v>
      </c>
      <c r="C233" s="1" t="s">
        <v>56</v>
      </c>
      <c r="D233" s="1" t="s">
        <v>331</v>
      </c>
      <c r="E233" s="1">
        <v>2</v>
      </c>
      <c r="F233" s="1" t="s">
        <v>55</v>
      </c>
      <c r="G233" s="1" t="s">
        <v>788</v>
      </c>
      <c r="H233" s="6" t="s">
        <v>789</v>
      </c>
    </row>
    <row r="234" spans="1:8" ht="66.75" customHeight="1" x14ac:dyDescent="0.25">
      <c r="A234" s="5" t="str">
        <f>"Metoxuron"</f>
        <v>Metoxuron</v>
      </c>
      <c r="B234" s="1" t="s">
        <v>790</v>
      </c>
      <c r="C234" s="1" t="s">
        <v>82</v>
      </c>
      <c r="D234" s="1" t="s">
        <v>145</v>
      </c>
      <c r="E234" s="1">
        <v>5</v>
      </c>
      <c r="F234" s="1" t="s">
        <v>146</v>
      </c>
      <c r="G234" s="1" t="s">
        <v>791</v>
      </c>
      <c r="H234" s="6" t="s">
        <v>792</v>
      </c>
    </row>
    <row r="235" spans="1:8" ht="105.65" customHeight="1" x14ac:dyDescent="0.25">
      <c r="A235" s="5" t="str">
        <f>"Metproxybicyclone"</f>
        <v>Metproxybicyclone</v>
      </c>
      <c r="B235" s="1" t="s">
        <v>793</v>
      </c>
      <c r="C235" s="1" t="s">
        <v>43</v>
      </c>
      <c r="D235" s="1" t="s">
        <v>30</v>
      </c>
      <c r="E235" s="1">
        <v>1</v>
      </c>
      <c r="G235" s="1" t="s">
        <v>794</v>
      </c>
      <c r="H235" s="6"/>
    </row>
    <row r="236" spans="1:8" ht="83.65" customHeight="1" x14ac:dyDescent="0.25">
      <c r="A236" s="5" t="str">
        <f>"Metribuzin"</f>
        <v>Metribuzin</v>
      </c>
      <c r="B236" s="1" t="s">
        <v>795</v>
      </c>
      <c r="C236" s="1" t="s">
        <v>49</v>
      </c>
      <c r="D236" s="1" t="s">
        <v>498</v>
      </c>
      <c r="E236" s="1">
        <v>5</v>
      </c>
      <c r="F236" s="1" t="s">
        <v>48</v>
      </c>
      <c r="G236" s="1" t="s">
        <v>796</v>
      </c>
      <c r="H236" s="6" t="s">
        <v>797</v>
      </c>
    </row>
    <row r="237" spans="1:8" ht="97.75" customHeight="1" x14ac:dyDescent="0.25">
      <c r="A237" s="5" t="str">
        <f>"Metsulfuron-methyl"</f>
        <v>Metsulfuron-methyl</v>
      </c>
      <c r="B237" s="1" t="s">
        <v>798</v>
      </c>
      <c r="C237" s="1" t="s">
        <v>56</v>
      </c>
      <c r="D237" s="1" t="s">
        <v>54</v>
      </c>
      <c r="E237" s="1">
        <v>2</v>
      </c>
      <c r="F237" s="1" t="s">
        <v>55</v>
      </c>
      <c r="G237" s="1" t="s">
        <v>799</v>
      </c>
      <c r="H237" s="6" t="s">
        <v>800</v>
      </c>
    </row>
    <row r="238" spans="1:8" ht="70.75" customHeight="1" x14ac:dyDescent="0.25">
      <c r="A238" s="5" t="str">
        <f>"Molinate"</f>
        <v>Molinate</v>
      </c>
      <c r="B238" s="1" t="s">
        <v>801</v>
      </c>
      <c r="C238" s="1" t="s">
        <v>20</v>
      </c>
      <c r="D238" s="1" t="s">
        <v>218</v>
      </c>
      <c r="E238" s="1">
        <v>15</v>
      </c>
      <c r="F238" s="1" t="s">
        <v>19</v>
      </c>
      <c r="G238" s="1" t="s">
        <v>802</v>
      </c>
      <c r="H238" s="6" t="s">
        <v>803</v>
      </c>
    </row>
    <row r="239" spans="1:8" ht="66.25" customHeight="1" x14ac:dyDescent="0.25">
      <c r="A239" s="5" t="str">
        <f>"Monalide"</f>
        <v>Monalide</v>
      </c>
      <c r="B239" s="1" t="s">
        <v>804</v>
      </c>
      <c r="C239" s="1" t="s">
        <v>68</v>
      </c>
      <c r="E239" s="1">
        <v>0</v>
      </c>
      <c r="F239" s="1" t="s">
        <v>126</v>
      </c>
      <c r="G239" s="1" t="s">
        <v>805</v>
      </c>
      <c r="H239" s="6" t="s">
        <v>806</v>
      </c>
    </row>
    <row r="240" spans="1:8" ht="75.25" customHeight="1" x14ac:dyDescent="0.25">
      <c r="A240" s="5" t="str">
        <f>"Monolinuron"</f>
        <v>Monolinuron</v>
      </c>
      <c r="B240" s="1" t="s">
        <v>807</v>
      </c>
      <c r="C240" s="1" t="s">
        <v>82</v>
      </c>
      <c r="D240" s="1" t="s">
        <v>145</v>
      </c>
      <c r="E240" s="1">
        <v>5</v>
      </c>
      <c r="F240" s="1" t="s">
        <v>146</v>
      </c>
      <c r="G240" s="1" t="s">
        <v>808</v>
      </c>
      <c r="H240" s="6" t="s">
        <v>809</v>
      </c>
    </row>
    <row r="241" spans="1:8" ht="68.5" customHeight="1" x14ac:dyDescent="0.25">
      <c r="A241" s="5" t="str">
        <f>"Monuron"</f>
        <v>Monuron</v>
      </c>
      <c r="B241" s="1" t="s">
        <v>810</v>
      </c>
      <c r="C241" s="1" t="s">
        <v>49</v>
      </c>
      <c r="D241" s="1" t="s">
        <v>145</v>
      </c>
      <c r="E241" s="1">
        <v>5</v>
      </c>
      <c r="F241" s="1" t="s">
        <v>48</v>
      </c>
      <c r="G241" s="1" t="s">
        <v>811</v>
      </c>
      <c r="H241" s="6" t="s">
        <v>812</v>
      </c>
    </row>
    <row r="242" spans="1:8" ht="106.15" customHeight="1" x14ac:dyDescent="0.25">
      <c r="A242" s="5" t="str">
        <f>"Morfamquat"</f>
        <v>Morfamquat</v>
      </c>
      <c r="B242" s="1" t="s">
        <v>813</v>
      </c>
      <c r="C242" s="1" t="s">
        <v>360</v>
      </c>
      <c r="D242" s="1" t="s">
        <v>358</v>
      </c>
      <c r="E242" s="1">
        <v>22</v>
      </c>
      <c r="F242" s="1" t="s">
        <v>359</v>
      </c>
      <c r="G242" s="1" t="s">
        <v>814</v>
      </c>
      <c r="H242" s="6" t="s">
        <v>815</v>
      </c>
    </row>
    <row r="243" spans="1:8" ht="106.15" customHeight="1" x14ac:dyDescent="0.25">
      <c r="A243" s="5" t="str">
        <f>"Naproanilide"</f>
        <v>Naproanilide</v>
      </c>
      <c r="B243" s="1" t="s">
        <v>816</v>
      </c>
      <c r="C243" s="1" t="s">
        <v>68</v>
      </c>
      <c r="D243" s="1" t="s">
        <v>455</v>
      </c>
      <c r="E243" s="1">
        <v>0</v>
      </c>
      <c r="F243" s="1" t="s">
        <v>126</v>
      </c>
      <c r="G243" s="1" t="s">
        <v>817</v>
      </c>
      <c r="H243" s="6" t="s">
        <v>818</v>
      </c>
    </row>
    <row r="244" spans="1:8" ht="106.15" customHeight="1" x14ac:dyDescent="0.25">
      <c r="A244" s="5" t="str">
        <f>"Napropamide"</f>
        <v>Napropamide</v>
      </c>
      <c r="B244" s="1" t="s">
        <v>819</v>
      </c>
      <c r="C244" s="1" t="s">
        <v>68</v>
      </c>
      <c r="D244" s="1" t="s">
        <v>455</v>
      </c>
      <c r="E244" s="1">
        <v>0</v>
      </c>
      <c r="F244" s="1" t="s">
        <v>126</v>
      </c>
      <c r="G244" s="1" t="s">
        <v>820</v>
      </c>
      <c r="H244" s="6" t="s">
        <v>821</v>
      </c>
    </row>
    <row r="245" spans="1:8" ht="106.15" customHeight="1" x14ac:dyDescent="0.25">
      <c r="A245" s="5" t="str">
        <f>"Naptalam"</f>
        <v>Naptalam</v>
      </c>
      <c r="B245" s="1" t="s">
        <v>822</v>
      </c>
      <c r="C245" s="1" t="s">
        <v>423</v>
      </c>
      <c r="D245" s="1" t="s">
        <v>421</v>
      </c>
      <c r="E245" s="1">
        <v>19</v>
      </c>
      <c r="F245" s="1" t="s">
        <v>422</v>
      </c>
      <c r="G245" s="1" t="s">
        <v>823</v>
      </c>
      <c r="H245" s="6" t="s">
        <v>824</v>
      </c>
    </row>
    <row r="246" spans="1:8" ht="66.75" customHeight="1" x14ac:dyDescent="0.25">
      <c r="A246" s="5" t="str">
        <f>"Neburon"</f>
        <v>Neburon</v>
      </c>
      <c r="B246" s="1" t="s">
        <v>825</v>
      </c>
      <c r="C246" s="1" t="s">
        <v>82</v>
      </c>
      <c r="D246" s="1" t="s">
        <v>145</v>
      </c>
      <c r="E246" s="1">
        <v>5</v>
      </c>
      <c r="F246" s="1" t="s">
        <v>146</v>
      </c>
      <c r="G246" s="1" t="s">
        <v>826</v>
      </c>
      <c r="H246" s="6" t="s">
        <v>827</v>
      </c>
    </row>
    <row r="247" spans="1:8" ht="105" customHeight="1" x14ac:dyDescent="0.25">
      <c r="A247" s="5" t="str">
        <f>"Nicosulfuron"</f>
        <v>Nicosulfuron</v>
      </c>
      <c r="B247" s="1" t="s">
        <v>828</v>
      </c>
      <c r="C247" s="1" t="s">
        <v>56</v>
      </c>
      <c r="D247" s="1" t="s">
        <v>54</v>
      </c>
      <c r="E247" s="1">
        <v>2</v>
      </c>
      <c r="F247" s="1" t="s">
        <v>55</v>
      </c>
      <c r="G247" s="1" t="s">
        <v>829</v>
      </c>
      <c r="H247" s="6" t="s">
        <v>493</v>
      </c>
    </row>
    <row r="248" spans="1:8" ht="106.15" customHeight="1" x14ac:dyDescent="0.25">
      <c r="A248" s="5" t="str">
        <f>"Nitralin"</f>
        <v>Nitralin</v>
      </c>
      <c r="B248" s="1" t="s">
        <v>830</v>
      </c>
      <c r="C248" s="1" t="s">
        <v>1180</v>
      </c>
      <c r="D248" s="1" t="s">
        <v>113</v>
      </c>
      <c r="E248" s="1">
        <v>3</v>
      </c>
      <c r="F248" s="1" t="s">
        <v>114</v>
      </c>
      <c r="G248" s="1" t="s">
        <v>831</v>
      </c>
      <c r="H248" s="6" t="s">
        <v>832</v>
      </c>
    </row>
    <row r="249" spans="1:8" ht="89.25" customHeight="1" x14ac:dyDescent="0.25">
      <c r="A249" s="5" t="str">
        <f>"Nitrofen"</f>
        <v>Nitrofen</v>
      </c>
      <c r="B249" s="1" t="s">
        <v>833</v>
      </c>
      <c r="C249" s="1" t="s">
        <v>26</v>
      </c>
      <c r="D249" s="1" t="s">
        <v>24</v>
      </c>
      <c r="E249" s="1">
        <v>14</v>
      </c>
      <c r="F249" s="1" t="s">
        <v>25</v>
      </c>
      <c r="G249" s="1" t="s">
        <v>834</v>
      </c>
      <c r="H249" s="6" t="s">
        <v>835</v>
      </c>
    </row>
    <row r="250" spans="1:8" ht="91.5" customHeight="1" x14ac:dyDescent="0.25">
      <c r="A250" s="5" t="str">
        <f>"Norflurazon"</f>
        <v>Norflurazon</v>
      </c>
      <c r="B250" s="1" t="s">
        <v>836</v>
      </c>
      <c r="C250" s="1" t="s">
        <v>106</v>
      </c>
      <c r="D250" s="1" t="s">
        <v>607</v>
      </c>
      <c r="E250" s="1">
        <v>12</v>
      </c>
      <c r="F250" s="1" t="s">
        <v>105</v>
      </c>
      <c r="G250" s="1" t="s">
        <v>837</v>
      </c>
      <c r="H250" s="6" t="s">
        <v>838</v>
      </c>
    </row>
    <row r="251" spans="1:8" ht="106.15" customHeight="1" x14ac:dyDescent="0.25">
      <c r="A251" s="5" t="str">
        <f>"Oleic acid"</f>
        <v>Oleic acid</v>
      </c>
      <c r="B251" s="1" t="s">
        <v>839</v>
      </c>
      <c r="C251" s="1" t="s">
        <v>68</v>
      </c>
      <c r="E251" s="1">
        <v>0</v>
      </c>
      <c r="F251" s="1" t="s">
        <v>126</v>
      </c>
      <c r="G251" s="1" t="s">
        <v>840</v>
      </c>
      <c r="H251" s="6" t="s">
        <v>841</v>
      </c>
    </row>
    <row r="252" spans="1:8" ht="67.900000000000006" customHeight="1" x14ac:dyDescent="0.25">
      <c r="A252" s="5" t="str">
        <f>"Orbencarb"</f>
        <v>Orbencarb</v>
      </c>
      <c r="B252" s="1" t="s">
        <v>842</v>
      </c>
      <c r="C252" s="1" t="s">
        <v>20</v>
      </c>
      <c r="D252" s="1" t="s">
        <v>218</v>
      </c>
      <c r="E252" s="1">
        <v>15</v>
      </c>
      <c r="F252" s="1" t="s">
        <v>19</v>
      </c>
      <c r="G252" s="1" t="s">
        <v>843</v>
      </c>
      <c r="H252" s="6" t="s">
        <v>844</v>
      </c>
    </row>
    <row r="253" spans="1:8" ht="106.15" customHeight="1" x14ac:dyDescent="0.25">
      <c r="A253" s="5" t="str">
        <f>"Orthosulfamuron"</f>
        <v>Orthosulfamuron</v>
      </c>
      <c r="B253" s="1" t="s">
        <v>845</v>
      </c>
      <c r="C253" s="1" t="s">
        <v>56</v>
      </c>
      <c r="D253" s="1" t="s">
        <v>54</v>
      </c>
      <c r="E253" s="1">
        <v>2</v>
      </c>
      <c r="F253" s="1" t="s">
        <v>55</v>
      </c>
      <c r="G253" s="1" t="s">
        <v>846</v>
      </c>
      <c r="H253" s="6" t="s">
        <v>847</v>
      </c>
    </row>
    <row r="254" spans="1:8" ht="106.15" customHeight="1" x14ac:dyDescent="0.25">
      <c r="A254" s="5" t="str">
        <f>"Oryzalin"</f>
        <v>Oryzalin</v>
      </c>
      <c r="B254" s="1" t="s">
        <v>848</v>
      </c>
      <c r="C254" s="1" t="s">
        <v>1180</v>
      </c>
      <c r="D254" s="1" t="s">
        <v>113</v>
      </c>
      <c r="E254" s="1">
        <v>3</v>
      </c>
      <c r="F254" s="1" t="s">
        <v>114</v>
      </c>
      <c r="G254" s="1" t="s">
        <v>849</v>
      </c>
      <c r="H254" s="6" t="s">
        <v>850</v>
      </c>
    </row>
    <row r="255" spans="1:8" ht="83.65" customHeight="1" x14ac:dyDescent="0.25">
      <c r="A255" s="5" t="str">
        <f>"Oxadiargyl"</f>
        <v>Oxadiargyl</v>
      </c>
      <c r="B255" s="1" t="s">
        <v>851</v>
      </c>
      <c r="C255" s="1" t="s">
        <v>26</v>
      </c>
      <c r="D255" s="1" t="s">
        <v>852</v>
      </c>
      <c r="E255" s="1">
        <v>14</v>
      </c>
      <c r="F255" s="1" t="s">
        <v>25</v>
      </c>
      <c r="G255" s="1" t="s">
        <v>853</v>
      </c>
      <c r="H255" s="6" t="s">
        <v>854</v>
      </c>
    </row>
    <row r="256" spans="1:8" ht="82" customHeight="1" x14ac:dyDescent="0.25">
      <c r="A256" s="5" t="str">
        <f>"Oxadiazon"</f>
        <v>Oxadiazon</v>
      </c>
      <c r="B256" s="1" t="s">
        <v>855</v>
      </c>
      <c r="C256" s="1" t="s">
        <v>26</v>
      </c>
      <c r="D256" s="1" t="s">
        <v>852</v>
      </c>
      <c r="E256" s="1">
        <v>14</v>
      </c>
      <c r="F256" s="1" t="s">
        <v>25</v>
      </c>
      <c r="G256" s="1" t="s">
        <v>856</v>
      </c>
      <c r="H256" s="6" t="s">
        <v>857</v>
      </c>
    </row>
    <row r="257" spans="1:8" ht="97.75" customHeight="1" x14ac:dyDescent="0.25">
      <c r="A257" s="5" t="str">
        <f>"Oxasulfuron"</f>
        <v>Oxasulfuron</v>
      </c>
      <c r="B257" s="1" t="s">
        <v>858</v>
      </c>
      <c r="C257" s="1" t="s">
        <v>56</v>
      </c>
      <c r="D257" s="1" t="s">
        <v>54</v>
      </c>
      <c r="E257" s="1">
        <v>2</v>
      </c>
      <c r="F257" s="1" t="s">
        <v>55</v>
      </c>
      <c r="G257" s="1" t="s">
        <v>859</v>
      </c>
      <c r="H257" s="6" t="s">
        <v>860</v>
      </c>
    </row>
    <row r="258" spans="1:8" ht="92.15" customHeight="1" x14ac:dyDescent="0.25">
      <c r="A258" s="5" t="str">
        <f>"Oxaziclomefone"</f>
        <v>Oxaziclomefone</v>
      </c>
      <c r="B258" s="1" t="s">
        <v>861</v>
      </c>
      <c r="C258" s="1" t="s">
        <v>176</v>
      </c>
      <c r="D258" s="1" t="s">
        <v>174</v>
      </c>
      <c r="E258" s="1">
        <v>30</v>
      </c>
      <c r="F258" s="1" t="s">
        <v>175</v>
      </c>
      <c r="G258" s="1" t="s">
        <v>862</v>
      </c>
      <c r="H258" s="6" t="s">
        <v>863</v>
      </c>
    </row>
    <row r="259" spans="1:8" ht="91.5" customHeight="1" x14ac:dyDescent="0.25">
      <c r="A259" s="5" t="str">
        <f>"Oxyfluorfen"</f>
        <v>Oxyfluorfen</v>
      </c>
      <c r="B259" s="1" t="s">
        <v>864</v>
      </c>
      <c r="C259" s="1" t="s">
        <v>26</v>
      </c>
      <c r="D259" s="1" t="s">
        <v>24</v>
      </c>
      <c r="E259" s="1">
        <v>14</v>
      </c>
      <c r="F259" s="1" t="s">
        <v>25</v>
      </c>
      <c r="G259" s="1" t="s">
        <v>865</v>
      </c>
      <c r="H259" s="6" t="s">
        <v>866</v>
      </c>
    </row>
    <row r="260" spans="1:8" ht="82.5" customHeight="1" x14ac:dyDescent="0.25">
      <c r="A260" s="5" t="str">
        <f>"Parafluron"</f>
        <v>Parafluron</v>
      </c>
      <c r="B260" s="1" t="s">
        <v>867</v>
      </c>
      <c r="C260" s="1" t="s">
        <v>82</v>
      </c>
      <c r="D260" s="1" t="s">
        <v>145</v>
      </c>
      <c r="E260" s="1">
        <v>5</v>
      </c>
      <c r="F260" s="1" t="s">
        <v>146</v>
      </c>
      <c r="G260" s="1" t="s">
        <v>868</v>
      </c>
      <c r="H260" s="6" t="s">
        <v>580</v>
      </c>
    </row>
    <row r="261" spans="1:8" ht="84.25" customHeight="1" x14ac:dyDescent="0.25">
      <c r="A261" s="5" t="str">
        <f>"Paraquat"</f>
        <v>Paraquat</v>
      </c>
      <c r="B261" s="1" t="s">
        <v>869</v>
      </c>
      <c r="C261" s="1" t="s">
        <v>360</v>
      </c>
      <c r="D261" s="1" t="s">
        <v>358</v>
      </c>
      <c r="E261" s="1">
        <v>22</v>
      </c>
      <c r="F261" s="1" t="s">
        <v>359</v>
      </c>
      <c r="G261" s="1" t="s">
        <v>870</v>
      </c>
      <c r="H261" s="6" t="s">
        <v>871</v>
      </c>
    </row>
    <row r="262" spans="1:8" ht="67.900000000000006" customHeight="1" x14ac:dyDescent="0.25">
      <c r="A262" s="5" t="str">
        <f>"Pebulate"</f>
        <v>Pebulate</v>
      </c>
      <c r="B262" s="1" t="s">
        <v>872</v>
      </c>
      <c r="C262" s="1" t="s">
        <v>20</v>
      </c>
      <c r="D262" s="1" t="s">
        <v>218</v>
      </c>
      <c r="E262" s="1">
        <v>15</v>
      </c>
      <c r="F262" s="1" t="s">
        <v>219</v>
      </c>
      <c r="G262" s="1" t="s">
        <v>873</v>
      </c>
      <c r="H262" s="6" t="s">
        <v>874</v>
      </c>
    </row>
    <row r="263" spans="1:8" ht="47.65" customHeight="1" x14ac:dyDescent="0.25">
      <c r="A263" s="5" t="str">
        <f>"Pelargonic acid"</f>
        <v>Pelargonic acid</v>
      </c>
      <c r="B263" s="1" t="s">
        <v>875</v>
      </c>
      <c r="C263" s="1" t="s">
        <v>68</v>
      </c>
      <c r="E263" s="1">
        <v>0</v>
      </c>
      <c r="F263" s="1" t="s">
        <v>126</v>
      </c>
      <c r="G263" s="1" t="s">
        <v>876</v>
      </c>
      <c r="H263" s="6" t="s">
        <v>877</v>
      </c>
    </row>
    <row r="264" spans="1:8" ht="94.9" customHeight="1" x14ac:dyDescent="0.25">
      <c r="A264" s="5" t="str">
        <f>"Pendimethalin"</f>
        <v>Pendimethalin</v>
      </c>
      <c r="B264" s="1" t="s">
        <v>878</v>
      </c>
      <c r="C264" s="1" t="s">
        <v>1180</v>
      </c>
      <c r="D264" s="1" t="s">
        <v>113</v>
      </c>
      <c r="E264" s="1">
        <v>3</v>
      </c>
      <c r="F264" s="1" t="s">
        <v>114</v>
      </c>
      <c r="G264" s="1" t="s">
        <v>879</v>
      </c>
      <c r="H264" s="6" t="s">
        <v>880</v>
      </c>
    </row>
    <row r="265" spans="1:8" ht="106.15" customHeight="1" x14ac:dyDescent="0.25">
      <c r="A265" s="5" t="str">
        <f>"Penoxsulam"</f>
        <v>Penoxsulam</v>
      </c>
      <c r="B265" s="1" t="s">
        <v>881</v>
      </c>
      <c r="C265" s="1" t="s">
        <v>56</v>
      </c>
      <c r="D265" s="1" t="s">
        <v>882</v>
      </c>
      <c r="E265" s="1">
        <v>2</v>
      </c>
      <c r="F265" s="1" t="s">
        <v>55</v>
      </c>
      <c r="G265" s="1" t="s">
        <v>883</v>
      </c>
      <c r="H265" s="6" t="s">
        <v>884</v>
      </c>
    </row>
    <row r="266" spans="1:8" ht="64.5" customHeight="1" x14ac:dyDescent="0.25">
      <c r="A266" s="5" t="str">
        <f>"Pentanochlor"</f>
        <v>Pentanochlor</v>
      </c>
      <c r="B266" s="1" t="s">
        <v>885</v>
      </c>
      <c r="C266" s="1" t="s">
        <v>82</v>
      </c>
      <c r="D266" s="1" t="s">
        <v>244</v>
      </c>
      <c r="E266" s="1">
        <v>5</v>
      </c>
      <c r="F266" s="1" t="s">
        <v>146</v>
      </c>
      <c r="G266" s="1" t="s">
        <v>886</v>
      </c>
      <c r="H266" s="6" t="s">
        <v>806</v>
      </c>
    </row>
    <row r="267" spans="1:8" ht="92.15" customHeight="1" x14ac:dyDescent="0.25">
      <c r="A267" s="5" t="str">
        <f>"Pentoxazone"</f>
        <v>Pentoxazone</v>
      </c>
      <c r="B267" s="1" t="s">
        <v>887</v>
      </c>
      <c r="C267" s="1" t="s">
        <v>26</v>
      </c>
      <c r="D267" s="1" t="s">
        <v>198</v>
      </c>
      <c r="E267" s="1">
        <v>14</v>
      </c>
      <c r="F267" s="1" t="s">
        <v>25</v>
      </c>
      <c r="G267" s="1" t="s">
        <v>888</v>
      </c>
      <c r="H267" s="6" t="s">
        <v>889</v>
      </c>
    </row>
    <row r="268" spans="1:8" ht="88.15" customHeight="1" x14ac:dyDescent="0.25">
      <c r="A268" s="5" t="str">
        <f>"Perfluidone"</f>
        <v>Perfluidone</v>
      </c>
      <c r="B268" s="1" t="s">
        <v>890</v>
      </c>
      <c r="C268" s="1" t="s">
        <v>68</v>
      </c>
      <c r="D268" s="1" t="s">
        <v>747</v>
      </c>
      <c r="E268" s="1">
        <v>0</v>
      </c>
      <c r="F268" s="1" t="s">
        <v>126</v>
      </c>
      <c r="G268" s="1" t="s">
        <v>891</v>
      </c>
      <c r="H268" s="6" t="s">
        <v>892</v>
      </c>
    </row>
    <row r="269" spans="1:8" ht="106.15" customHeight="1" x14ac:dyDescent="0.25">
      <c r="A269" s="5" t="str">
        <f>"Pethoxamid"</f>
        <v>Pethoxamid</v>
      </c>
      <c r="B269" s="1" t="s">
        <v>893</v>
      </c>
      <c r="C269" s="1" t="s">
        <v>20</v>
      </c>
      <c r="D269" s="1" t="s">
        <v>18</v>
      </c>
      <c r="E269" s="1">
        <v>15</v>
      </c>
      <c r="F269" s="1" t="s">
        <v>19</v>
      </c>
      <c r="G269" s="1" t="s">
        <v>894</v>
      </c>
      <c r="H269" s="6" t="s">
        <v>895</v>
      </c>
    </row>
    <row r="270" spans="1:8" ht="73" customHeight="1" x14ac:dyDescent="0.25">
      <c r="A270" s="5" t="str">
        <f>"Phenisopham"</f>
        <v>Phenisopham</v>
      </c>
      <c r="B270" s="1" t="s">
        <v>896</v>
      </c>
      <c r="C270" s="1" t="s">
        <v>82</v>
      </c>
      <c r="D270" s="1" t="s">
        <v>281</v>
      </c>
      <c r="E270" s="1">
        <v>5</v>
      </c>
      <c r="F270" s="1" t="s">
        <v>81</v>
      </c>
      <c r="G270" s="1" t="s">
        <v>897</v>
      </c>
      <c r="H270" s="6" t="s">
        <v>898</v>
      </c>
    </row>
    <row r="271" spans="1:8" ht="52.15" customHeight="1" x14ac:dyDescent="0.25">
      <c r="A271" s="5" t="str">
        <f>"Phenmedipham"</f>
        <v>Phenmedipham</v>
      </c>
      <c r="B271" s="1" t="s">
        <v>899</v>
      </c>
      <c r="C271" s="1" t="s">
        <v>49</v>
      </c>
      <c r="D271" s="1" t="s">
        <v>387</v>
      </c>
      <c r="E271" s="1">
        <v>5</v>
      </c>
      <c r="F271" s="1" t="s">
        <v>48</v>
      </c>
      <c r="G271" s="1" t="s">
        <v>900</v>
      </c>
      <c r="H271" s="6" t="s">
        <v>389</v>
      </c>
    </row>
    <row r="272" spans="1:8" ht="87" customHeight="1" x14ac:dyDescent="0.25">
      <c r="A272" s="5" t="str">
        <f>"Picloram"</f>
        <v>Picloram</v>
      </c>
      <c r="B272" s="1" t="s">
        <v>901</v>
      </c>
      <c r="C272" s="1" t="s">
        <v>6</v>
      </c>
      <c r="D272" s="1" t="s">
        <v>63</v>
      </c>
      <c r="E272" s="1">
        <v>4</v>
      </c>
      <c r="F272" s="1" t="s">
        <v>5</v>
      </c>
      <c r="G272" s="1" t="s">
        <v>902</v>
      </c>
      <c r="H272" s="6" t="s">
        <v>903</v>
      </c>
    </row>
    <row r="273" spans="1:8" ht="100" customHeight="1" x14ac:dyDescent="0.25">
      <c r="A273" s="5" t="str">
        <f>"Picolinafen"</f>
        <v>Picolinafen</v>
      </c>
      <c r="B273" s="1" t="s">
        <v>904</v>
      </c>
      <c r="C273" s="1" t="s">
        <v>106</v>
      </c>
      <c r="D273" s="1" t="s">
        <v>104</v>
      </c>
      <c r="E273" s="1">
        <v>12</v>
      </c>
      <c r="F273" s="1" t="s">
        <v>105</v>
      </c>
      <c r="G273" s="1" t="s">
        <v>905</v>
      </c>
      <c r="H273" s="6" t="s">
        <v>906</v>
      </c>
    </row>
    <row r="274" spans="1:8" ht="106.15" customHeight="1" x14ac:dyDescent="0.25">
      <c r="A274" s="5" t="str">
        <f>"Pinoxaden"</f>
        <v>Pinoxaden</v>
      </c>
      <c r="B274" s="1" t="s">
        <v>907</v>
      </c>
      <c r="C274" s="1" t="s">
        <v>43</v>
      </c>
      <c r="D274" s="1" t="s">
        <v>30</v>
      </c>
      <c r="E274" s="1">
        <v>1</v>
      </c>
      <c r="F274" s="1" t="s">
        <v>42</v>
      </c>
      <c r="G274" s="1" t="s">
        <v>908</v>
      </c>
      <c r="H274" s="6" t="s">
        <v>909</v>
      </c>
    </row>
    <row r="275" spans="1:8" ht="91.5" customHeight="1" x14ac:dyDescent="0.25">
      <c r="A275" s="5" t="str">
        <f>"Piperophos"</f>
        <v>Piperophos</v>
      </c>
      <c r="B275" s="1" t="s">
        <v>910</v>
      </c>
      <c r="C275" s="1" t="s">
        <v>20</v>
      </c>
      <c r="D275" s="1" t="s">
        <v>72</v>
      </c>
      <c r="E275" s="1">
        <v>15</v>
      </c>
      <c r="F275" s="1" t="s">
        <v>19</v>
      </c>
      <c r="G275" s="1" t="s">
        <v>911</v>
      </c>
      <c r="H275" s="6" t="s">
        <v>912</v>
      </c>
    </row>
    <row r="276" spans="1:8" ht="106.15" customHeight="1" x14ac:dyDescent="0.25">
      <c r="A276" s="5" t="str">
        <f>"Pretilachlor"</f>
        <v>Pretilachlor</v>
      </c>
      <c r="B276" s="1" t="s">
        <v>913</v>
      </c>
      <c r="C276" s="1" t="s">
        <v>20</v>
      </c>
      <c r="D276" s="1" t="s">
        <v>18</v>
      </c>
      <c r="E276" s="1">
        <v>15</v>
      </c>
      <c r="F276" s="1" t="s">
        <v>19</v>
      </c>
      <c r="G276" s="1" t="s">
        <v>914</v>
      </c>
      <c r="H276" s="6" t="s">
        <v>196</v>
      </c>
    </row>
    <row r="277" spans="1:8" ht="106.15" customHeight="1" x14ac:dyDescent="0.25">
      <c r="A277" s="5" t="str">
        <f>"Primisulfuron-methyl"</f>
        <v>Primisulfuron-methyl</v>
      </c>
      <c r="B277" s="1" t="s">
        <v>915</v>
      </c>
      <c r="C277" s="1" t="s">
        <v>56</v>
      </c>
      <c r="D277" s="1" t="s">
        <v>54</v>
      </c>
      <c r="E277" s="1">
        <v>2</v>
      </c>
      <c r="F277" s="1" t="s">
        <v>55</v>
      </c>
      <c r="G277" s="1" t="s">
        <v>916</v>
      </c>
      <c r="H277" s="6" t="s">
        <v>917</v>
      </c>
    </row>
    <row r="278" spans="1:8" ht="70.150000000000006" customHeight="1" x14ac:dyDescent="0.25">
      <c r="A278" s="5" t="str">
        <f>"Procyazine"</f>
        <v>Procyazine</v>
      </c>
      <c r="B278" s="1" t="s">
        <v>918</v>
      </c>
      <c r="C278" s="1" t="s">
        <v>82</v>
      </c>
      <c r="D278" s="1" t="s">
        <v>47</v>
      </c>
      <c r="E278" s="1">
        <v>5</v>
      </c>
      <c r="F278" s="1" t="s">
        <v>81</v>
      </c>
      <c r="G278" s="1" t="s">
        <v>919</v>
      </c>
      <c r="H278" s="6" t="s">
        <v>920</v>
      </c>
    </row>
    <row r="279" spans="1:8" ht="106.15" customHeight="1" x14ac:dyDescent="0.25">
      <c r="A279" s="5" t="str">
        <f>"Prodiamine"</f>
        <v>Prodiamine</v>
      </c>
      <c r="B279" s="1" t="s">
        <v>921</v>
      </c>
      <c r="C279" s="1" t="s">
        <v>1180</v>
      </c>
      <c r="D279" s="1" t="s">
        <v>113</v>
      </c>
      <c r="E279" s="1">
        <v>3</v>
      </c>
      <c r="F279" s="1" t="s">
        <v>114</v>
      </c>
      <c r="G279" s="1" t="s">
        <v>922</v>
      </c>
      <c r="H279" s="6" t="s">
        <v>923</v>
      </c>
    </row>
    <row r="280" spans="1:8" ht="106.75" customHeight="1" x14ac:dyDescent="0.25">
      <c r="A280" s="5" t="str">
        <f>"Profluralin"</f>
        <v>Profluralin</v>
      </c>
      <c r="B280" s="1" t="s">
        <v>924</v>
      </c>
      <c r="C280" s="1" t="s">
        <v>1180</v>
      </c>
      <c r="D280" s="1" t="s">
        <v>113</v>
      </c>
      <c r="E280" s="1">
        <v>3</v>
      </c>
      <c r="F280" s="1" t="s">
        <v>114</v>
      </c>
      <c r="G280" s="1" t="s">
        <v>925</v>
      </c>
      <c r="H280" s="6" t="s">
        <v>926</v>
      </c>
    </row>
    <row r="281" spans="1:8" ht="106.15" customHeight="1" x14ac:dyDescent="0.25">
      <c r="A281" s="5" t="str">
        <f>"Profoxydim"</f>
        <v>Profoxydim</v>
      </c>
      <c r="B281" s="1" t="s">
        <v>927</v>
      </c>
      <c r="C281" s="1" t="s">
        <v>43</v>
      </c>
      <c r="D281" s="1" t="s">
        <v>41</v>
      </c>
      <c r="E281" s="1">
        <v>1</v>
      </c>
      <c r="F281" s="1" t="s">
        <v>42</v>
      </c>
      <c r="G281" s="1" t="s">
        <v>928</v>
      </c>
      <c r="H281" s="6" t="s">
        <v>929</v>
      </c>
    </row>
    <row r="282" spans="1:8" ht="83.65" customHeight="1" x14ac:dyDescent="0.25">
      <c r="A282" s="5" t="str">
        <f>"Proglinazine-ethyl"</f>
        <v>Proglinazine-ethyl</v>
      </c>
      <c r="B282" s="1" t="s">
        <v>930</v>
      </c>
      <c r="C282" s="1" t="s">
        <v>82</v>
      </c>
      <c r="D282" s="1" t="s">
        <v>47</v>
      </c>
      <c r="E282" s="1">
        <v>5</v>
      </c>
      <c r="F282" s="1" t="s">
        <v>81</v>
      </c>
      <c r="G282" s="1" t="s">
        <v>931</v>
      </c>
      <c r="H282" s="6" t="s">
        <v>932</v>
      </c>
    </row>
    <row r="283" spans="1:8" ht="75.75" customHeight="1" x14ac:dyDescent="0.25">
      <c r="A283" s="5" t="str">
        <f>"Prometon"</f>
        <v>Prometon</v>
      </c>
      <c r="B283" s="1" t="s">
        <v>933</v>
      </c>
      <c r="C283" s="1" t="s">
        <v>49</v>
      </c>
      <c r="D283" s="1" t="s">
        <v>47</v>
      </c>
      <c r="E283" s="1">
        <v>5</v>
      </c>
      <c r="F283" s="1" t="s">
        <v>48</v>
      </c>
      <c r="G283" s="1" t="s">
        <v>934</v>
      </c>
      <c r="H283" s="6" t="s">
        <v>935</v>
      </c>
    </row>
    <row r="284" spans="1:8" ht="75.75" customHeight="1" x14ac:dyDescent="0.25">
      <c r="A284" s="5" t="str">
        <f>"Prometryne"</f>
        <v>Prometryne</v>
      </c>
      <c r="B284" s="1" t="s">
        <v>936</v>
      </c>
      <c r="C284" s="1" t="s">
        <v>49</v>
      </c>
      <c r="D284" s="1" t="s">
        <v>47</v>
      </c>
      <c r="E284" s="1">
        <v>5</v>
      </c>
      <c r="F284" s="1" t="s">
        <v>48</v>
      </c>
      <c r="G284" s="1" t="s">
        <v>937</v>
      </c>
      <c r="H284" s="6" t="s">
        <v>938</v>
      </c>
    </row>
    <row r="285" spans="1:8" ht="74.150000000000006" customHeight="1" x14ac:dyDescent="0.25">
      <c r="A285" s="5" t="str">
        <f>"Propachlor"</f>
        <v>Propachlor</v>
      </c>
      <c r="B285" s="1" t="s">
        <v>939</v>
      </c>
      <c r="C285" s="1" t="s">
        <v>20</v>
      </c>
      <c r="D285" s="1" t="s">
        <v>18</v>
      </c>
      <c r="E285" s="1">
        <v>15</v>
      </c>
      <c r="F285" s="1" t="s">
        <v>19</v>
      </c>
      <c r="G285" s="1" t="s">
        <v>940</v>
      </c>
      <c r="H285" s="6" t="s">
        <v>941</v>
      </c>
    </row>
    <row r="286" spans="1:8" ht="56.15" customHeight="1" x14ac:dyDescent="0.25">
      <c r="A286" s="5" t="str">
        <f>"Propanil"</f>
        <v>Propanil</v>
      </c>
      <c r="B286" s="1" t="s">
        <v>942</v>
      </c>
      <c r="C286" s="1" t="s">
        <v>49</v>
      </c>
      <c r="D286" s="1" t="s">
        <v>244</v>
      </c>
      <c r="E286" s="1">
        <v>5</v>
      </c>
      <c r="F286" s="1" t="s">
        <v>48</v>
      </c>
      <c r="G286" s="1" t="s">
        <v>943</v>
      </c>
      <c r="H286" s="6" t="s">
        <v>944</v>
      </c>
    </row>
    <row r="287" spans="1:8" ht="106.15" customHeight="1" x14ac:dyDescent="0.25">
      <c r="A287" s="5" t="str">
        <f>"Propaquizafop (EU)"</f>
        <v>Propaquizafop (EU)</v>
      </c>
      <c r="B287" s="1" t="s">
        <v>945</v>
      </c>
      <c r="C287" s="1" t="s">
        <v>43</v>
      </c>
      <c r="D287" s="1" t="s">
        <v>312</v>
      </c>
      <c r="E287" s="1">
        <v>1</v>
      </c>
      <c r="F287" s="1" t="s">
        <v>42</v>
      </c>
      <c r="H287" s="6"/>
    </row>
    <row r="288" spans="1:8" ht="71.25" customHeight="1" x14ac:dyDescent="0.25">
      <c r="A288" s="5" t="str">
        <f>"Propazine"</f>
        <v>Propazine</v>
      </c>
      <c r="B288" s="1" t="s">
        <v>946</v>
      </c>
      <c r="C288" s="1" t="s">
        <v>49</v>
      </c>
      <c r="D288" s="1" t="s">
        <v>47</v>
      </c>
      <c r="E288" s="1">
        <v>5</v>
      </c>
      <c r="F288" s="1" t="s">
        <v>48</v>
      </c>
      <c r="G288" s="1" t="s">
        <v>947</v>
      </c>
      <c r="H288" s="6" t="s">
        <v>948</v>
      </c>
    </row>
    <row r="289" spans="1:8" ht="96" customHeight="1" x14ac:dyDescent="0.25">
      <c r="A289" s="5" t="str">
        <f>"Propham"</f>
        <v>Propham</v>
      </c>
      <c r="B289" s="1" t="s">
        <v>949</v>
      </c>
      <c r="C289" s="1" t="s">
        <v>1179</v>
      </c>
      <c r="D289" s="1" t="s">
        <v>99</v>
      </c>
      <c r="E289" s="1">
        <v>23</v>
      </c>
      <c r="F289" s="1" t="s">
        <v>100</v>
      </c>
      <c r="G289" s="1" t="s">
        <v>950</v>
      </c>
      <c r="H289" s="6" t="s">
        <v>951</v>
      </c>
    </row>
    <row r="290" spans="1:8" ht="106.15" customHeight="1" x14ac:dyDescent="0.25">
      <c r="A290" s="5" t="str">
        <f>"Propisochlor"</f>
        <v>Propisochlor</v>
      </c>
      <c r="B290" s="1" t="s">
        <v>952</v>
      </c>
      <c r="C290" s="1" t="s">
        <v>20</v>
      </c>
      <c r="D290" s="1" t="s">
        <v>18</v>
      </c>
      <c r="E290" s="1">
        <v>15</v>
      </c>
      <c r="F290" s="1" t="s">
        <v>19</v>
      </c>
      <c r="G290" s="1" t="s">
        <v>953</v>
      </c>
      <c r="H290" s="6" t="s">
        <v>385</v>
      </c>
    </row>
    <row r="291" spans="1:8" ht="106.15" customHeight="1" x14ac:dyDescent="0.25">
      <c r="A291" s="5" t="str">
        <f>"Propoxycarbazone-Na"</f>
        <v>Propoxycarbazone-Na</v>
      </c>
      <c r="B291" s="1" t="s">
        <v>954</v>
      </c>
      <c r="C291" s="1" t="s">
        <v>56</v>
      </c>
      <c r="D291" s="1" t="s">
        <v>553</v>
      </c>
      <c r="E291" s="1">
        <v>2</v>
      </c>
      <c r="F291" s="1" t="s">
        <v>55</v>
      </c>
      <c r="G291" s="1" t="s">
        <v>955</v>
      </c>
      <c r="H291" s="6" t="s">
        <v>506</v>
      </c>
    </row>
    <row r="292" spans="1:8" ht="106.15" customHeight="1" x14ac:dyDescent="0.25">
      <c r="A292" s="5" t="str">
        <f>"Propyrisulfuron"</f>
        <v>Propyrisulfuron</v>
      </c>
      <c r="B292" s="1" t="s">
        <v>956</v>
      </c>
      <c r="C292" s="1" t="s">
        <v>56</v>
      </c>
      <c r="D292" s="1" t="s">
        <v>54</v>
      </c>
      <c r="E292" s="1">
        <v>2</v>
      </c>
      <c r="F292" s="1" t="s">
        <v>55</v>
      </c>
      <c r="G292" s="1" t="s">
        <v>957</v>
      </c>
      <c r="H292" s="6" t="s">
        <v>958</v>
      </c>
    </row>
    <row r="293" spans="1:8" ht="106.15" customHeight="1" x14ac:dyDescent="0.25">
      <c r="A293" s="5" t="str">
        <f>"Propyzamide/Pronamide"</f>
        <v>Propyzamide/Pronamide</v>
      </c>
      <c r="B293" s="1" t="s">
        <v>959</v>
      </c>
      <c r="C293" s="1" t="s">
        <v>1179</v>
      </c>
      <c r="D293" s="1" t="s">
        <v>30</v>
      </c>
      <c r="E293" s="1">
        <v>23</v>
      </c>
      <c r="F293" s="1" t="s">
        <v>114</v>
      </c>
      <c r="G293" s="1" t="s">
        <v>960</v>
      </c>
      <c r="H293" s="6" t="s">
        <v>961</v>
      </c>
    </row>
    <row r="294" spans="1:8" ht="83.65" customHeight="1" x14ac:dyDescent="0.25">
      <c r="A294" s="5" t="str">
        <f>"Prosulfocarb"</f>
        <v>Prosulfocarb</v>
      </c>
      <c r="B294" s="1" t="s">
        <v>962</v>
      </c>
      <c r="C294" s="1" t="s">
        <v>20</v>
      </c>
      <c r="D294" s="1" t="s">
        <v>218</v>
      </c>
      <c r="E294" s="1">
        <v>15</v>
      </c>
      <c r="F294" s="1" t="s">
        <v>19</v>
      </c>
      <c r="G294" s="1" t="s">
        <v>963</v>
      </c>
      <c r="H294" s="6" t="s">
        <v>964</v>
      </c>
    </row>
    <row r="295" spans="1:8" ht="97.15" customHeight="1" x14ac:dyDescent="0.25">
      <c r="A295" s="5" t="str">
        <f>"Prosulfuron"</f>
        <v>Prosulfuron</v>
      </c>
      <c r="B295" s="1" t="s">
        <v>965</v>
      </c>
      <c r="C295" s="1" t="s">
        <v>56</v>
      </c>
      <c r="D295" s="1" t="s">
        <v>54</v>
      </c>
      <c r="E295" s="1">
        <v>2</v>
      </c>
      <c r="F295" s="1" t="s">
        <v>55</v>
      </c>
      <c r="G295" s="1" t="s">
        <v>966</v>
      </c>
      <c r="H295" s="6" t="s">
        <v>967</v>
      </c>
    </row>
    <row r="296" spans="1:8" ht="80.25" customHeight="1" x14ac:dyDescent="0.25">
      <c r="A296" s="5" t="str">
        <f>"Prynachlor"</f>
        <v>Prynachlor</v>
      </c>
      <c r="B296" s="1" t="s">
        <v>968</v>
      </c>
      <c r="C296" s="1" t="s">
        <v>20</v>
      </c>
      <c r="D296" s="1" t="s">
        <v>18</v>
      </c>
      <c r="E296" s="1">
        <v>15</v>
      </c>
      <c r="F296" s="1" t="s">
        <v>19</v>
      </c>
      <c r="G296" s="1" t="s">
        <v>969</v>
      </c>
      <c r="H296" s="6" t="s">
        <v>970</v>
      </c>
    </row>
    <row r="297" spans="1:8" ht="99.4" customHeight="1" x14ac:dyDescent="0.25">
      <c r="A297" s="5" t="str">
        <f>"Pyraclonil"</f>
        <v>Pyraclonil</v>
      </c>
      <c r="B297" s="1" t="s">
        <v>971</v>
      </c>
      <c r="C297" s="1" t="s">
        <v>26</v>
      </c>
      <c r="D297" s="1" t="s">
        <v>30</v>
      </c>
      <c r="E297" s="1">
        <v>14</v>
      </c>
      <c r="F297" s="1" t="s">
        <v>25</v>
      </c>
      <c r="G297" s="1" t="s">
        <v>972</v>
      </c>
      <c r="H297" s="6" t="s">
        <v>973</v>
      </c>
    </row>
    <row r="298" spans="1:8" ht="106.15" customHeight="1" x14ac:dyDescent="0.25">
      <c r="A298" s="5" t="str">
        <f>"Pyraflufen-ethyl"</f>
        <v>Pyraflufen-ethyl</v>
      </c>
      <c r="B298" s="1" t="s">
        <v>974</v>
      </c>
      <c r="C298" s="1" t="s">
        <v>26</v>
      </c>
      <c r="D298" s="1" t="s">
        <v>30</v>
      </c>
      <c r="E298" s="1">
        <v>14</v>
      </c>
      <c r="F298" s="1" t="s">
        <v>25</v>
      </c>
      <c r="G298" s="1" t="s">
        <v>975</v>
      </c>
      <c r="H298" s="6" t="s">
        <v>976</v>
      </c>
    </row>
    <row r="299" spans="1:8" ht="102.75" customHeight="1" x14ac:dyDescent="0.25">
      <c r="A299" s="5" t="str">
        <f>"Pyrasulfotole"</f>
        <v>Pyrasulfotole</v>
      </c>
      <c r="B299" s="1" t="s">
        <v>977</v>
      </c>
      <c r="C299" s="1" t="s">
        <v>137</v>
      </c>
      <c r="D299" s="1" t="s">
        <v>141</v>
      </c>
      <c r="E299" s="1">
        <v>27</v>
      </c>
      <c r="F299" s="1" t="s">
        <v>136</v>
      </c>
      <c r="G299" s="1" t="s">
        <v>978</v>
      </c>
      <c r="H299" s="6" t="s">
        <v>979</v>
      </c>
    </row>
    <row r="300" spans="1:8" ht="106.15" customHeight="1" x14ac:dyDescent="0.25">
      <c r="A300" s="5" t="str">
        <f>"Pyrazolynate"</f>
        <v>Pyrazolynate</v>
      </c>
      <c r="B300" s="1" t="s">
        <v>980</v>
      </c>
      <c r="C300" s="1" t="s">
        <v>137</v>
      </c>
      <c r="D300" s="1" t="s">
        <v>141</v>
      </c>
      <c r="E300" s="1">
        <v>27</v>
      </c>
      <c r="F300" s="1" t="s">
        <v>136</v>
      </c>
      <c r="G300" s="1" t="s">
        <v>981</v>
      </c>
      <c r="H300" s="6" t="s">
        <v>982</v>
      </c>
    </row>
    <row r="301" spans="1:8" ht="106.15" customHeight="1" x14ac:dyDescent="0.25">
      <c r="A301" s="5" t="str">
        <f>"Pyrazosulfuron-ethyl"</f>
        <v>Pyrazosulfuron-ethyl</v>
      </c>
      <c r="B301" s="1" t="s">
        <v>983</v>
      </c>
      <c r="C301" s="1" t="s">
        <v>56</v>
      </c>
      <c r="D301" s="1" t="s">
        <v>54</v>
      </c>
      <c r="E301" s="1">
        <v>2</v>
      </c>
      <c r="F301" s="1" t="s">
        <v>55</v>
      </c>
      <c r="G301" s="1" t="s">
        <v>984</v>
      </c>
      <c r="H301" s="6" t="s">
        <v>985</v>
      </c>
    </row>
    <row r="302" spans="1:8" ht="106.15" customHeight="1" x14ac:dyDescent="0.25">
      <c r="A302" s="5" t="str">
        <f>"Pyrazoxyfen"</f>
        <v>Pyrazoxyfen</v>
      </c>
      <c r="B302" s="1" t="s">
        <v>986</v>
      </c>
      <c r="C302" s="1" t="s">
        <v>137</v>
      </c>
      <c r="D302" s="1" t="s">
        <v>141</v>
      </c>
      <c r="E302" s="1">
        <v>27</v>
      </c>
      <c r="F302" s="1" t="s">
        <v>136</v>
      </c>
      <c r="G302" s="1" t="s">
        <v>987</v>
      </c>
      <c r="H302" s="6" t="s">
        <v>988</v>
      </c>
    </row>
    <row r="303" spans="1:8" ht="106.15" customHeight="1" x14ac:dyDescent="0.25">
      <c r="A303" s="5" t="str">
        <f>"Pyribenzoxim"</f>
        <v>Pyribenzoxim</v>
      </c>
      <c r="B303" s="1" t="s">
        <v>989</v>
      </c>
      <c r="C303" s="1" t="s">
        <v>56</v>
      </c>
      <c r="D303" s="1" t="s">
        <v>162</v>
      </c>
      <c r="E303" s="1">
        <v>2</v>
      </c>
      <c r="F303" s="1" t="s">
        <v>55</v>
      </c>
      <c r="G303" s="1" t="s">
        <v>990</v>
      </c>
      <c r="H303" s="6" t="s">
        <v>991</v>
      </c>
    </row>
    <row r="304" spans="1:8" ht="88.15" customHeight="1" x14ac:dyDescent="0.25">
      <c r="A304" s="5" t="str">
        <f>"Pyributicarb"</f>
        <v>Pyributicarb</v>
      </c>
      <c r="B304" s="1" t="s">
        <v>992</v>
      </c>
      <c r="C304" s="1" t="s">
        <v>68</v>
      </c>
      <c r="E304" s="1">
        <v>0</v>
      </c>
      <c r="F304" s="1" t="s">
        <v>126</v>
      </c>
      <c r="G304" s="1" t="s">
        <v>993</v>
      </c>
      <c r="H304" s="6" t="s">
        <v>994</v>
      </c>
    </row>
    <row r="305" spans="1:8" ht="94.9" customHeight="1" x14ac:dyDescent="0.25">
      <c r="A305" s="5" t="str">
        <f>"Pyridate"</f>
        <v>Pyridate</v>
      </c>
      <c r="B305" s="1" t="s">
        <v>995</v>
      </c>
      <c r="C305" s="1" t="s">
        <v>131</v>
      </c>
      <c r="D305" s="1" t="s">
        <v>30</v>
      </c>
      <c r="E305" s="1">
        <v>6</v>
      </c>
      <c r="F305" s="1" t="s">
        <v>130</v>
      </c>
      <c r="G305" s="1" t="s">
        <v>996</v>
      </c>
      <c r="H305" s="6" t="s">
        <v>997</v>
      </c>
    </row>
    <row r="306" spans="1:8" ht="106.15" customHeight="1" x14ac:dyDescent="0.25">
      <c r="A306" s="5" t="str">
        <f>"Pyriftalid"</f>
        <v>Pyriftalid</v>
      </c>
      <c r="B306" s="1" t="s">
        <v>998</v>
      </c>
      <c r="C306" s="1" t="s">
        <v>56</v>
      </c>
      <c r="D306" s="1" t="s">
        <v>162</v>
      </c>
      <c r="E306" s="1">
        <v>2</v>
      </c>
      <c r="F306" s="1" t="s">
        <v>55</v>
      </c>
      <c r="G306" s="1" t="s">
        <v>999</v>
      </c>
      <c r="H306" s="6" t="s">
        <v>1000</v>
      </c>
    </row>
    <row r="307" spans="1:8" ht="106.15" customHeight="1" x14ac:dyDescent="0.25">
      <c r="A307" s="5" t="str">
        <f>"Pyriminobac-methyl"</f>
        <v>Pyriminobac-methyl</v>
      </c>
      <c r="B307" s="1" t="s">
        <v>1001</v>
      </c>
      <c r="C307" s="1" t="s">
        <v>56</v>
      </c>
      <c r="D307" s="1" t="s">
        <v>162</v>
      </c>
      <c r="E307" s="1">
        <v>2</v>
      </c>
      <c r="F307" s="1" t="s">
        <v>55</v>
      </c>
      <c r="G307" s="1" t="s">
        <v>1002</v>
      </c>
      <c r="H307" s="6" t="s">
        <v>1003</v>
      </c>
    </row>
    <row r="308" spans="1:8" ht="106.15" customHeight="1" x14ac:dyDescent="0.25">
      <c r="A308" s="5" t="str">
        <f>"Pyrimisulfan"</f>
        <v>Pyrimisulfan</v>
      </c>
      <c r="B308" s="1" t="s">
        <v>1004</v>
      </c>
      <c r="C308" s="1" t="s">
        <v>56</v>
      </c>
      <c r="D308" s="1" t="s">
        <v>1005</v>
      </c>
      <c r="E308" s="1">
        <v>2</v>
      </c>
      <c r="F308" s="1" t="s">
        <v>55</v>
      </c>
      <c r="G308" s="1" t="s">
        <v>1006</v>
      </c>
      <c r="H308" s="6" t="s">
        <v>1007</v>
      </c>
    </row>
    <row r="309" spans="1:8" ht="106.15" customHeight="1" x14ac:dyDescent="0.25">
      <c r="A309" s="5" t="str">
        <f>"Pyrithiobac-Na"</f>
        <v>Pyrithiobac-Na</v>
      </c>
      <c r="B309" s="1" t="s">
        <v>1008</v>
      </c>
      <c r="C309" s="1" t="s">
        <v>56</v>
      </c>
      <c r="D309" s="1" t="s">
        <v>162</v>
      </c>
      <c r="E309" s="1">
        <v>2</v>
      </c>
      <c r="F309" s="1" t="s">
        <v>55</v>
      </c>
      <c r="G309" s="1" t="s">
        <v>1009</v>
      </c>
      <c r="H309" s="6" t="s">
        <v>1010</v>
      </c>
    </row>
    <row r="310" spans="1:8" ht="106.15" customHeight="1" x14ac:dyDescent="0.25">
      <c r="A310" s="5" t="str">
        <f>"Pyroxasulfone"</f>
        <v>Pyroxasulfone</v>
      </c>
      <c r="B310" s="1" t="s">
        <v>1011</v>
      </c>
      <c r="C310" s="1" t="s">
        <v>20</v>
      </c>
      <c r="D310" s="1" t="s">
        <v>520</v>
      </c>
      <c r="E310" s="1">
        <v>15</v>
      </c>
      <c r="F310" s="1" t="s">
        <v>19</v>
      </c>
      <c r="G310" s="1" t="s">
        <v>1012</v>
      </c>
      <c r="H310" s="6" t="s">
        <v>1013</v>
      </c>
    </row>
    <row r="311" spans="1:8" ht="99.4" customHeight="1" x14ac:dyDescent="0.25">
      <c r="A311" s="5" t="str">
        <f>"Pyroxsulam"</f>
        <v>Pyroxsulam</v>
      </c>
      <c r="B311" s="1" t="s">
        <v>1014</v>
      </c>
      <c r="C311" s="1" t="s">
        <v>56</v>
      </c>
      <c r="D311" s="1" t="s">
        <v>882</v>
      </c>
      <c r="E311" s="1">
        <v>2</v>
      </c>
      <c r="F311" s="1" t="s">
        <v>55</v>
      </c>
      <c r="G311" s="1" t="s">
        <v>1015</v>
      </c>
      <c r="H311" s="6" t="s">
        <v>1016</v>
      </c>
    </row>
    <row r="312" spans="1:8" ht="79.150000000000006" customHeight="1" x14ac:dyDescent="0.25">
      <c r="A312" s="5" t="str">
        <f>"Quinclorac"</f>
        <v>Quinclorac</v>
      </c>
      <c r="B312" s="1" t="s">
        <v>1017</v>
      </c>
      <c r="C312" s="1" t="s">
        <v>6</v>
      </c>
      <c r="D312" s="1" t="s">
        <v>1018</v>
      </c>
      <c r="E312" s="1">
        <v>4</v>
      </c>
      <c r="F312" s="1" t="s">
        <v>5</v>
      </c>
      <c r="G312" s="1" t="s">
        <v>1019</v>
      </c>
      <c r="H312" s="6" t="s">
        <v>1020</v>
      </c>
    </row>
    <row r="313" spans="1:8" ht="75.75" customHeight="1" x14ac:dyDescent="0.25">
      <c r="A313" s="5" t="str">
        <f>"Quinmerac"</f>
        <v>Quinmerac</v>
      </c>
      <c r="B313" s="1" t="s">
        <v>1021</v>
      </c>
      <c r="C313" s="1" t="s">
        <v>6</v>
      </c>
      <c r="D313" s="1" t="s">
        <v>1018</v>
      </c>
      <c r="E313" s="1">
        <v>4</v>
      </c>
      <c r="F313" s="1" t="s">
        <v>5</v>
      </c>
      <c r="G313" s="1" t="s">
        <v>1022</v>
      </c>
      <c r="H313" s="6" t="s">
        <v>1023</v>
      </c>
    </row>
    <row r="314" spans="1:8" ht="87.65" customHeight="1" x14ac:dyDescent="0.25">
      <c r="A314" s="5" t="str">
        <f>"Quinoclamine"</f>
        <v>Quinoclamine</v>
      </c>
      <c r="B314" s="1" t="s">
        <v>1024</v>
      </c>
      <c r="C314" s="1" t="s">
        <v>68</v>
      </c>
      <c r="E314" s="1">
        <v>0</v>
      </c>
      <c r="F314" s="1" t="s">
        <v>126</v>
      </c>
      <c r="G314" s="1" t="s">
        <v>1025</v>
      </c>
      <c r="H314" s="6" t="s">
        <v>1026</v>
      </c>
    </row>
    <row r="315" spans="1:8" ht="106.15" customHeight="1" x14ac:dyDescent="0.25">
      <c r="A315" s="5" t="str">
        <f>"Quizalofop-ethyl"</f>
        <v>Quizalofop-ethyl</v>
      </c>
      <c r="B315" s="1" t="s">
        <v>1027</v>
      </c>
      <c r="C315" s="1" t="s">
        <v>43</v>
      </c>
      <c r="D315" s="1" t="s">
        <v>312</v>
      </c>
      <c r="E315" s="1">
        <v>1</v>
      </c>
      <c r="F315" s="1" t="s">
        <v>42</v>
      </c>
      <c r="G315" s="1" t="s">
        <v>1028</v>
      </c>
      <c r="H315" s="6" t="s">
        <v>1029</v>
      </c>
    </row>
    <row r="316" spans="1:8" ht="106.15" customHeight="1" x14ac:dyDescent="0.25">
      <c r="A316" s="5" t="str">
        <f>"Rimisoxafen"</f>
        <v>Rimisoxafen</v>
      </c>
      <c r="B316" s="1" t="s">
        <v>1171</v>
      </c>
      <c r="C316" s="1" t="s">
        <v>1172</v>
      </c>
      <c r="D316" s="1" t="s">
        <v>30</v>
      </c>
      <c r="E316" s="7" t="s">
        <v>1175</v>
      </c>
      <c r="G316" s="1" t="s">
        <v>1173</v>
      </c>
      <c r="H316" s="6" t="s">
        <v>1174</v>
      </c>
    </row>
    <row r="317" spans="1:8" ht="106.15" customHeight="1" x14ac:dyDescent="0.25">
      <c r="A317" s="5" t="str">
        <f>"Rimsulfuron"</f>
        <v>Rimsulfuron</v>
      </c>
      <c r="B317" s="1" t="s">
        <v>1030</v>
      </c>
      <c r="C317" s="1" t="s">
        <v>56</v>
      </c>
      <c r="D317" s="1" t="s">
        <v>54</v>
      </c>
      <c r="E317" s="1">
        <v>2</v>
      </c>
      <c r="F317" s="1" t="s">
        <v>55</v>
      </c>
      <c r="G317" s="1" t="s">
        <v>1031</v>
      </c>
      <c r="H317" s="6" t="s">
        <v>1032</v>
      </c>
    </row>
    <row r="318" spans="1:8" ht="105.65" customHeight="1" x14ac:dyDescent="0.25">
      <c r="A318" s="5" t="str">
        <f>"Saflufenacil"</f>
        <v>Saflufenacil</v>
      </c>
      <c r="B318" s="1" t="s">
        <v>1033</v>
      </c>
      <c r="C318" s="1" t="s">
        <v>26</v>
      </c>
      <c r="D318" s="1" t="s">
        <v>198</v>
      </c>
      <c r="E318" s="1">
        <v>14</v>
      </c>
      <c r="F318" s="1" t="s">
        <v>25</v>
      </c>
      <c r="G318" s="1" t="s">
        <v>1034</v>
      </c>
      <c r="H318" s="6" t="s">
        <v>1035</v>
      </c>
    </row>
    <row r="319" spans="1:8" ht="71.25" customHeight="1" x14ac:dyDescent="0.25">
      <c r="A319" s="5" t="str">
        <f>"Sebuthylazine"</f>
        <v>Sebuthylazine</v>
      </c>
      <c r="B319" s="1" t="s">
        <v>1036</v>
      </c>
      <c r="C319" s="1" t="s">
        <v>82</v>
      </c>
      <c r="D319" s="1" t="s">
        <v>47</v>
      </c>
      <c r="E319" s="1">
        <v>5</v>
      </c>
      <c r="F319" s="1" t="s">
        <v>81</v>
      </c>
      <c r="G319" s="1" t="s">
        <v>1037</v>
      </c>
      <c r="H319" s="6" t="s">
        <v>948</v>
      </c>
    </row>
    <row r="320" spans="1:8" ht="75.75" customHeight="1" x14ac:dyDescent="0.25">
      <c r="A320" s="5" t="str">
        <f>"Secbumeton"</f>
        <v>Secbumeton</v>
      </c>
      <c r="B320" s="1" t="s">
        <v>1038</v>
      </c>
      <c r="C320" s="1" t="s">
        <v>82</v>
      </c>
      <c r="D320" s="1" t="s">
        <v>47</v>
      </c>
      <c r="E320" s="1">
        <v>5</v>
      </c>
      <c r="F320" s="1" t="s">
        <v>81</v>
      </c>
      <c r="G320" s="1" t="s">
        <v>1039</v>
      </c>
      <c r="H320" s="6" t="s">
        <v>935</v>
      </c>
    </row>
    <row r="321" spans="1:8" ht="106.15" customHeight="1" x14ac:dyDescent="0.25">
      <c r="A321" s="5" t="str">
        <f>"Sethoxydim"</f>
        <v>Sethoxydim</v>
      </c>
      <c r="B321" s="1" t="s">
        <v>1040</v>
      </c>
      <c r="C321" s="1" t="s">
        <v>43</v>
      </c>
      <c r="D321" s="1" t="s">
        <v>41</v>
      </c>
      <c r="E321" s="1">
        <v>1</v>
      </c>
      <c r="F321" s="1" t="s">
        <v>42</v>
      </c>
      <c r="G321" s="1" t="s">
        <v>1041</v>
      </c>
      <c r="H321" s="6" t="s">
        <v>1042</v>
      </c>
    </row>
    <row r="322" spans="1:8" ht="64.5" customHeight="1" x14ac:dyDescent="0.25">
      <c r="A322" s="5" t="str">
        <f>"Siduron"</f>
        <v>Siduron</v>
      </c>
      <c r="B322" s="1" t="s">
        <v>1043</v>
      </c>
      <c r="C322" s="1" t="s">
        <v>82</v>
      </c>
      <c r="D322" s="1" t="s">
        <v>145</v>
      </c>
      <c r="E322" s="1">
        <v>5</v>
      </c>
      <c r="F322" s="1" t="s">
        <v>146</v>
      </c>
      <c r="G322" s="1" t="s">
        <v>1044</v>
      </c>
      <c r="H322" s="6" t="s">
        <v>1045</v>
      </c>
    </row>
    <row r="323" spans="1:8" ht="71.25" customHeight="1" x14ac:dyDescent="0.25">
      <c r="A323" s="5" t="str">
        <f>"Simazine"</f>
        <v>Simazine</v>
      </c>
      <c r="B323" s="1" t="s">
        <v>1046</v>
      </c>
      <c r="C323" s="1" t="s">
        <v>49</v>
      </c>
      <c r="D323" s="1" t="s">
        <v>47</v>
      </c>
      <c r="E323" s="1">
        <v>5</v>
      </c>
      <c r="F323" s="1" t="s">
        <v>48</v>
      </c>
      <c r="G323" s="1" t="s">
        <v>1047</v>
      </c>
      <c r="H323" s="6" t="s">
        <v>1048</v>
      </c>
    </row>
    <row r="324" spans="1:8" ht="75.75" customHeight="1" x14ac:dyDescent="0.25">
      <c r="A324" s="5" t="str">
        <f>"Simetryne"</f>
        <v>Simetryne</v>
      </c>
      <c r="B324" s="1" t="s">
        <v>1049</v>
      </c>
      <c r="C324" s="1" t="s">
        <v>82</v>
      </c>
      <c r="D324" s="1" t="s">
        <v>47</v>
      </c>
      <c r="E324" s="1">
        <v>5</v>
      </c>
      <c r="F324" s="1" t="s">
        <v>81</v>
      </c>
      <c r="G324" s="1" t="s">
        <v>1050</v>
      </c>
      <c r="H324" s="6" t="s">
        <v>392</v>
      </c>
    </row>
    <row r="325" spans="1:8" ht="84.75" customHeight="1" x14ac:dyDescent="0.25">
      <c r="A325" s="5" t="str">
        <f>"Sulcotrione"</f>
        <v>Sulcotrione</v>
      </c>
      <c r="B325" s="1" t="s">
        <v>1051</v>
      </c>
      <c r="C325" s="1" t="s">
        <v>137</v>
      </c>
      <c r="D325" s="1" t="s">
        <v>135</v>
      </c>
      <c r="E325" s="1">
        <v>27</v>
      </c>
      <c r="F325" s="1" t="s">
        <v>136</v>
      </c>
      <c r="G325" s="1" t="s">
        <v>1052</v>
      </c>
      <c r="H325" s="6" t="s">
        <v>1053</v>
      </c>
    </row>
    <row r="326" spans="1:8" ht="101.65" customHeight="1" x14ac:dyDescent="0.25">
      <c r="A326" s="5" t="str">
        <f>"Sulfentrazone"</f>
        <v>Sulfentrazone</v>
      </c>
      <c r="B326" s="1" t="s">
        <v>1054</v>
      </c>
      <c r="C326" s="1" t="s">
        <v>26</v>
      </c>
      <c r="D326" s="1" t="s">
        <v>89</v>
      </c>
      <c r="E326" s="1">
        <v>14</v>
      </c>
      <c r="F326" s="1" t="s">
        <v>25</v>
      </c>
      <c r="G326" s="1" t="s">
        <v>1055</v>
      </c>
      <c r="H326" s="6" t="s">
        <v>1056</v>
      </c>
    </row>
    <row r="327" spans="1:8" ht="97.75" customHeight="1" x14ac:dyDescent="0.25">
      <c r="A327" s="5" t="str">
        <f>"Sulfometuron-methyl"</f>
        <v>Sulfometuron-methyl</v>
      </c>
      <c r="B327" s="1" t="s">
        <v>1057</v>
      </c>
      <c r="C327" s="1" t="s">
        <v>56</v>
      </c>
      <c r="D327" s="1" t="s">
        <v>54</v>
      </c>
      <c r="E327" s="1">
        <v>2</v>
      </c>
      <c r="F327" s="1" t="s">
        <v>55</v>
      </c>
      <c r="G327" s="1" t="s">
        <v>1058</v>
      </c>
      <c r="H327" s="6" t="s">
        <v>1059</v>
      </c>
    </row>
    <row r="328" spans="1:8" ht="106.15" customHeight="1" x14ac:dyDescent="0.25">
      <c r="A328" s="5" t="str">
        <f>"Sulfosulfuron"</f>
        <v>Sulfosulfuron</v>
      </c>
      <c r="B328" s="1" t="s">
        <v>1060</v>
      </c>
      <c r="C328" s="1" t="s">
        <v>56</v>
      </c>
      <c r="D328" s="1" t="s">
        <v>54</v>
      </c>
      <c r="E328" s="1">
        <v>2</v>
      </c>
      <c r="F328" s="1" t="s">
        <v>55</v>
      </c>
      <c r="G328" s="1" t="s">
        <v>1061</v>
      </c>
      <c r="H328" s="6" t="s">
        <v>1062</v>
      </c>
    </row>
    <row r="329" spans="1:8" ht="91" customHeight="1" x14ac:dyDescent="0.25">
      <c r="A329" s="5" t="str">
        <f>"Swep"</f>
        <v>Swep</v>
      </c>
      <c r="B329" s="1" t="s">
        <v>1063</v>
      </c>
      <c r="C329" s="1" t="s">
        <v>1179</v>
      </c>
      <c r="D329" s="1" t="s">
        <v>99</v>
      </c>
      <c r="E329" s="1">
        <v>23</v>
      </c>
      <c r="F329" s="1" t="s">
        <v>100</v>
      </c>
      <c r="G329" s="1" t="s">
        <v>1064</v>
      </c>
      <c r="H329" s="6" t="s">
        <v>1065</v>
      </c>
    </row>
    <row r="330" spans="1:8" ht="70.75" customHeight="1" x14ac:dyDescent="0.25">
      <c r="A330" s="5" t="str">
        <f>"TBA"</f>
        <v>TBA</v>
      </c>
      <c r="B330" s="1" t="s">
        <v>1066</v>
      </c>
      <c r="C330" s="1" t="s">
        <v>6</v>
      </c>
      <c r="D330" s="1" t="s">
        <v>240</v>
      </c>
      <c r="E330" s="1">
        <v>4</v>
      </c>
      <c r="F330" s="1" t="s">
        <v>5</v>
      </c>
      <c r="G330" s="1" t="s">
        <v>1067</v>
      </c>
      <c r="H330" s="6" t="s">
        <v>1068</v>
      </c>
    </row>
    <row r="331" spans="1:8" ht="61.15" customHeight="1" x14ac:dyDescent="0.25">
      <c r="A331" s="5" t="str">
        <f>"TCA"</f>
        <v>TCA</v>
      </c>
      <c r="B331" s="1" t="s">
        <v>1069</v>
      </c>
      <c r="C331" s="1" t="s">
        <v>68</v>
      </c>
      <c r="D331" s="1" t="s">
        <v>379</v>
      </c>
      <c r="E331" s="1">
        <v>0</v>
      </c>
      <c r="F331" s="1" t="s">
        <v>380</v>
      </c>
      <c r="G331" s="1" t="s">
        <v>1070</v>
      </c>
      <c r="H331" s="6" t="s">
        <v>1071</v>
      </c>
    </row>
    <row r="332" spans="1:8" ht="72.400000000000006" customHeight="1" x14ac:dyDescent="0.25">
      <c r="A332" s="5" t="str">
        <f>"Tebutam"</f>
        <v>Tebutam</v>
      </c>
      <c r="B332" s="1" t="s">
        <v>1072</v>
      </c>
      <c r="C332" s="1" t="s">
        <v>176</v>
      </c>
      <c r="D332" s="1" t="s">
        <v>1073</v>
      </c>
      <c r="E332" s="1">
        <v>30</v>
      </c>
      <c r="F332" s="1" t="s">
        <v>1074</v>
      </c>
      <c r="G332" s="1" t="s">
        <v>1075</v>
      </c>
      <c r="H332" s="6" t="s">
        <v>1076</v>
      </c>
    </row>
    <row r="333" spans="1:8" ht="88.15" customHeight="1" x14ac:dyDescent="0.25">
      <c r="A333" s="5" t="str">
        <f>"Tebuthiuron"</f>
        <v>Tebuthiuron</v>
      </c>
      <c r="B333" s="1" t="s">
        <v>1077</v>
      </c>
      <c r="C333" s="1" t="s">
        <v>49</v>
      </c>
      <c r="D333" s="1" t="s">
        <v>145</v>
      </c>
      <c r="E333" s="1">
        <v>5</v>
      </c>
      <c r="F333" s="1" t="s">
        <v>48</v>
      </c>
      <c r="G333" s="1" t="s">
        <v>1078</v>
      </c>
      <c r="H333" s="6" t="s">
        <v>500</v>
      </c>
    </row>
    <row r="334" spans="1:8" ht="106.15" customHeight="1" x14ac:dyDescent="0.25">
      <c r="A334" s="5" t="str">
        <f>"Tefuryltrione"</f>
        <v>Tefuryltrione</v>
      </c>
      <c r="B334" s="1" t="s">
        <v>1079</v>
      </c>
      <c r="C334" s="1" t="s">
        <v>137</v>
      </c>
      <c r="D334" s="1" t="s">
        <v>135</v>
      </c>
      <c r="E334" s="1">
        <v>27</v>
      </c>
      <c r="F334" s="1" t="s">
        <v>136</v>
      </c>
      <c r="G334" s="1" t="s">
        <v>1080</v>
      </c>
      <c r="H334" s="6" t="s">
        <v>1081</v>
      </c>
    </row>
    <row r="335" spans="1:8" ht="106.75" customHeight="1" x14ac:dyDescent="0.25">
      <c r="A335" s="5" t="str">
        <f>"Tembotrione"</f>
        <v>Tembotrione</v>
      </c>
      <c r="B335" s="1" t="s">
        <v>1082</v>
      </c>
      <c r="C335" s="1" t="s">
        <v>137</v>
      </c>
      <c r="D335" s="1" t="s">
        <v>135</v>
      </c>
      <c r="E335" s="1">
        <v>27</v>
      </c>
      <c r="F335" s="1" t="s">
        <v>136</v>
      </c>
      <c r="G335" s="1" t="s">
        <v>1083</v>
      </c>
      <c r="H335" s="6" t="s">
        <v>1084</v>
      </c>
    </row>
    <row r="336" spans="1:8" ht="106.15" customHeight="1" x14ac:dyDescent="0.25">
      <c r="A336" s="5" t="str">
        <f>"Tepraloxydim"</f>
        <v>Tepraloxydim</v>
      </c>
      <c r="B336" s="1" t="s">
        <v>1085</v>
      </c>
      <c r="C336" s="1" t="s">
        <v>43</v>
      </c>
      <c r="D336" s="1" t="s">
        <v>41</v>
      </c>
      <c r="E336" s="1">
        <v>1</v>
      </c>
      <c r="F336" s="1" t="s">
        <v>42</v>
      </c>
      <c r="G336" s="1" t="s">
        <v>1086</v>
      </c>
      <c r="H336" s="6" t="s">
        <v>1087</v>
      </c>
    </row>
    <row r="337" spans="1:8" ht="87" customHeight="1" x14ac:dyDescent="0.25">
      <c r="A337" s="5" t="str">
        <f>"Terbacil"</f>
        <v>Terbacil</v>
      </c>
      <c r="B337" s="1" t="s">
        <v>1088</v>
      </c>
      <c r="C337" s="1" t="s">
        <v>49</v>
      </c>
      <c r="D337" s="1" t="s">
        <v>170</v>
      </c>
      <c r="E337" s="1">
        <v>5</v>
      </c>
      <c r="F337" s="1" t="s">
        <v>48</v>
      </c>
      <c r="G337" s="1" t="s">
        <v>1089</v>
      </c>
      <c r="H337" s="6" t="s">
        <v>1090</v>
      </c>
    </row>
    <row r="338" spans="1:8" ht="75.25" customHeight="1" x14ac:dyDescent="0.25">
      <c r="A338" s="5" t="str">
        <f>"Terbumeton"</f>
        <v>Terbumeton</v>
      </c>
      <c r="B338" s="1" t="s">
        <v>1091</v>
      </c>
      <c r="C338" s="1" t="s">
        <v>82</v>
      </c>
      <c r="D338" s="1" t="s">
        <v>47</v>
      </c>
      <c r="E338" s="1">
        <v>5</v>
      </c>
      <c r="F338" s="1" t="s">
        <v>81</v>
      </c>
      <c r="G338" s="1" t="s">
        <v>1092</v>
      </c>
      <c r="H338" s="6" t="s">
        <v>935</v>
      </c>
    </row>
    <row r="339" spans="1:8" ht="71.25" customHeight="1" x14ac:dyDescent="0.25">
      <c r="A339" s="5" t="str">
        <f>"Terbuthylazine"</f>
        <v>Terbuthylazine</v>
      </c>
      <c r="B339" s="1" t="s">
        <v>1093</v>
      </c>
      <c r="C339" s="1" t="s">
        <v>49</v>
      </c>
      <c r="D339" s="1" t="s">
        <v>47</v>
      </c>
      <c r="E339" s="1">
        <v>5</v>
      </c>
      <c r="F339" s="1" t="s">
        <v>48</v>
      </c>
      <c r="G339" s="1" t="s">
        <v>1094</v>
      </c>
      <c r="H339" s="6" t="s">
        <v>948</v>
      </c>
    </row>
    <row r="340" spans="1:8" ht="75.75" customHeight="1" x14ac:dyDescent="0.25">
      <c r="A340" s="5" t="str">
        <f>"Terbutryne"</f>
        <v>Terbutryne</v>
      </c>
      <c r="B340" s="1" t="s">
        <v>1095</v>
      </c>
      <c r="C340" s="1" t="s">
        <v>49</v>
      </c>
      <c r="D340" s="1" t="s">
        <v>47</v>
      </c>
      <c r="E340" s="1">
        <v>5</v>
      </c>
      <c r="F340" s="1" t="s">
        <v>48</v>
      </c>
      <c r="G340" s="1" t="s">
        <v>1096</v>
      </c>
      <c r="H340" s="6" t="s">
        <v>938</v>
      </c>
    </row>
    <row r="341" spans="1:8" ht="106.15" customHeight="1" x14ac:dyDescent="0.25">
      <c r="A341" s="5" t="str">
        <f>"Tetflupyrolimet"</f>
        <v>Tetflupyrolimet</v>
      </c>
      <c r="B341" s="1" t="s">
        <v>1097</v>
      </c>
      <c r="C341" s="1" t="s">
        <v>1099</v>
      </c>
      <c r="D341" s="1" t="s">
        <v>30</v>
      </c>
      <c r="E341" s="1">
        <v>28</v>
      </c>
      <c r="F341" s="8" t="s">
        <v>1098</v>
      </c>
      <c r="H341" s="6"/>
    </row>
    <row r="342" spans="1:8" ht="106.15" customHeight="1" x14ac:dyDescent="0.25">
      <c r="A342" s="5" t="str">
        <f>"Thenylchlor"</f>
        <v>Thenylchlor</v>
      </c>
      <c r="B342" s="1" t="s">
        <v>1100</v>
      </c>
      <c r="C342" s="1" t="s">
        <v>20</v>
      </c>
      <c r="D342" s="1" t="s">
        <v>18</v>
      </c>
      <c r="E342" s="1">
        <v>15</v>
      </c>
      <c r="F342" s="1" t="s">
        <v>19</v>
      </c>
      <c r="G342" s="1" t="s">
        <v>1101</v>
      </c>
      <c r="H342" s="6" t="s">
        <v>1102</v>
      </c>
    </row>
    <row r="343" spans="1:8" ht="92.15" customHeight="1" x14ac:dyDescent="0.25">
      <c r="A343" s="5" t="str">
        <f>"Thiazafluron"</f>
        <v>Thiazafluron</v>
      </c>
      <c r="B343" s="1" t="s">
        <v>1103</v>
      </c>
      <c r="C343" s="1" t="s">
        <v>82</v>
      </c>
      <c r="D343" s="1" t="s">
        <v>145</v>
      </c>
      <c r="E343" s="1">
        <v>5</v>
      </c>
      <c r="F343" s="1" t="s">
        <v>146</v>
      </c>
      <c r="G343" s="1" t="s">
        <v>1104</v>
      </c>
      <c r="H343" s="6" t="s">
        <v>1105</v>
      </c>
    </row>
    <row r="344" spans="1:8" ht="106.15" customHeight="1" x14ac:dyDescent="0.25">
      <c r="A344" s="5" t="str">
        <f>"Thiazopyr"</f>
        <v>Thiazopyr</v>
      </c>
      <c r="B344" s="1" t="s">
        <v>1106</v>
      </c>
      <c r="C344" s="1" t="s">
        <v>1180</v>
      </c>
      <c r="D344" s="1" t="s">
        <v>464</v>
      </c>
      <c r="E344" s="1">
        <v>3</v>
      </c>
      <c r="F344" s="1" t="s">
        <v>114</v>
      </c>
      <c r="G344" s="1" t="s">
        <v>1107</v>
      </c>
      <c r="H344" s="6" t="s">
        <v>1108</v>
      </c>
    </row>
    <row r="345" spans="1:8" ht="90.4" customHeight="1" x14ac:dyDescent="0.25">
      <c r="A345" s="5" t="str">
        <f>"Thiencarbazone-methyl"</f>
        <v>Thiencarbazone-methyl</v>
      </c>
      <c r="B345" s="1" t="s">
        <v>1109</v>
      </c>
      <c r="C345" s="1" t="s">
        <v>56</v>
      </c>
      <c r="D345" s="1" t="s">
        <v>553</v>
      </c>
      <c r="E345" s="1">
        <v>2</v>
      </c>
      <c r="F345" s="1" t="s">
        <v>55</v>
      </c>
      <c r="G345" s="1" t="s">
        <v>1110</v>
      </c>
      <c r="H345" s="6" t="s">
        <v>1111</v>
      </c>
    </row>
    <row r="346" spans="1:8" ht="102.75" customHeight="1" x14ac:dyDescent="0.25">
      <c r="A346" s="5" t="str">
        <f>"Thifensulfuron-methyl"</f>
        <v>Thifensulfuron-methyl</v>
      </c>
      <c r="B346" s="1" t="s">
        <v>1112</v>
      </c>
      <c r="C346" s="1" t="s">
        <v>56</v>
      </c>
      <c r="D346" s="1" t="s">
        <v>54</v>
      </c>
      <c r="E346" s="1">
        <v>2</v>
      </c>
      <c r="F346" s="1" t="s">
        <v>55</v>
      </c>
      <c r="G346" s="1" t="s">
        <v>1113</v>
      </c>
      <c r="H346" s="6" t="s">
        <v>1114</v>
      </c>
    </row>
    <row r="347" spans="1:8" ht="71.900000000000006" customHeight="1" x14ac:dyDescent="0.25">
      <c r="A347" s="5" t="str">
        <f>"Thiobencarb/Benthiocarb"</f>
        <v>Thiobencarb/Benthiocarb</v>
      </c>
      <c r="B347" s="1" t="s">
        <v>1115</v>
      </c>
      <c r="C347" s="1" t="s">
        <v>20</v>
      </c>
      <c r="D347" s="1" t="s">
        <v>218</v>
      </c>
      <c r="E347" s="1">
        <v>15</v>
      </c>
      <c r="F347" s="1" t="s">
        <v>19</v>
      </c>
      <c r="G347" s="1" t="s">
        <v>1116</v>
      </c>
      <c r="H347" s="6" t="s">
        <v>844</v>
      </c>
    </row>
    <row r="348" spans="1:8" ht="106.15" customHeight="1" x14ac:dyDescent="0.25">
      <c r="A348" s="5" t="str">
        <f>"Tiafenacil"</f>
        <v>Tiafenacil</v>
      </c>
      <c r="B348" s="1" t="s">
        <v>1117</v>
      </c>
      <c r="C348" s="1" t="s">
        <v>26</v>
      </c>
      <c r="D348" s="1" t="s">
        <v>198</v>
      </c>
      <c r="E348" s="1">
        <v>14</v>
      </c>
      <c r="F348" s="1" t="s">
        <v>25</v>
      </c>
      <c r="G348" s="1" t="s">
        <v>1118</v>
      </c>
      <c r="H348" s="6" t="s">
        <v>1119</v>
      </c>
    </row>
    <row r="349" spans="1:8" ht="87.65" customHeight="1" x14ac:dyDescent="0.25">
      <c r="A349" s="5" t="str">
        <f>"Tiocarbazil"</f>
        <v>Tiocarbazil</v>
      </c>
      <c r="B349" s="1" t="s">
        <v>1120</v>
      </c>
      <c r="C349" s="1" t="s">
        <v>20</v>
      </c>
      <c r="D349" s="1" t="s">
        <v>218</v>
      </c>
      <c r="E349" s="1">
        <v>15</v>
      </c>
      <c r="F349" s="1" t="s">
        <v>219</v>
      </c>
      <c r="G349" s="1" t="s">
        <v>1121</v>
      </c>
      <c r="H349" s="6" t="s">
        <v>1122</v>
      </c>
    </row>
    <row r="350" spans="1:8" ht="106.15" customHeight="1" x14ac:dyDescent="0.25">
      <c r="A350" s="5" t="str">
        <f>"Tolpyralate"</f>
        <v>Tolpyralate</v>
      </c>
      <c r="B350" s="1" t="s">
        <v>1123</v>
      </c>
      <c r="C350" s="1" t="s">
        <v>137</v>
      </c>
      <c r="D350" s="1" t="s">
        <v>141</v>
      </c>
      <c r="E350" s="1">
        <v>27</v>
      </c>
      <c r="F350" s="1" t="s">
        <v>136</v>
      </c>
      <c r="G350" s="1" t="s">
        <v>1124</v>
      </c>
      <c r="H350" s="6" t="s">
        <v>1125</v>
      </c>
    </row>
    <row r="351" spans="1:8" ht="88.15" customHeight="1" x14ac:dyDescent="0.25">
      <c r="A351" s="5" t="str">
        <f>"Topramezone"</f>
        <v>Topramezone</v>
      </c>
      <c r="B351" s="1" t="s">
        <v>1126</v>
      </c>
      <c r="C351" s="1" t="s">
        <v>137</v>
      </c>
      <c r="D351" s="1" t="s">
        <v>141</v>
      </c>
      <c r="E351" s="1">
        <v>27</v>
      </c>
      <c r="F351" s="1" t="s">
        <v>136</v>
      </c>
      <c r="G351" s="1" t="s">
        <v>1127</v>
      </c>
      <c r="H351" s="6" t="s">
        <v>1128</v>
      </c>
    </row>
    <row r="352" spans="1:8" ht="106.15" customHeight="1" x14ac:dyDescent="0.25">
      <c r="A352" s="5" t="str">
        <f>"Tralkoxydim"</f>
        <v>Tralkoxydim</v>
      </c>
      <c r="B352" s="1" t="s">
        <v>1129</v>
      </c>
      <c r="C352" s="1" t="s">
        <v>43</v>
      </c>
      <c r="D352" s="1" t="s">
        <v>41</v>
      </c>
      <c r="E352" s="1">
        <v>1</v>
      </c>
      <c r="F352" s="1" t="s">
        <v>42</v>
      </c>
      <c r="G352" s="1" t="s">
        <v>1130</v>
      </c>
      <c r="H352" s="6" t="s">
        <v>1131</v>
      </c>
    </row>
    <row r="353" spans="1:8" ht="106.15" customHeight="1" x14ac:dyDescent="0.25">
      <c r="A353" s="5" t="str">
        <f>"Triafamone"</f>
        <v>Triafamone</v>
      </c>
      <c r="B353" s="1" t="s">
        <v>1132</v>
      </c>
      <c r="C353" s="1" t="s">
        <v>56</v>
      </c>
      <c r="D353" s="1" t="s">
        <v>1005</v>
      </c>
      <c r="E353" s="1">
        <v>2</v>
      </c>
      <c r="F353" s="1" t="s">
        <v>55</v>
      </c>
      <c r="G353" s="1" t="s">
        <v>1133</v>
      </c>
      <c r="H353" s="6" t="s">
        <v>1134</v>
      </c>
    </row>
    <row r="354" spans="1:8" ht="67.900000000000006" customHeight="1" x14ac:dyDescent="0.25">
      <c r="A354" s="5" t="str">
        <f>"Triallate"</f>
        <v>Triallate</v>
      </c>
      <c r="B354" s="1" t="s">
        <v>1135</v>
      </c>
      <c r="C354" s="1" t="s">
        <v>20</v>
      </c>
      <c r="D354" s="1" t="s">
        <v>218</v>
      </c>
      <c r="E354" s="1">
        <v>15</v>
      </c>
      <c r="F354" s="1" t="s">
        <v>19</v>
      </c>
      <c r="G354" s="1" t="s">
        <v>1136</v>
      </c>
      <c r="H354" s="6" t="s">
        <v>1137</v>
      </c>
    </row>
    <row r="355" spans="1:8" ht="97.15" customHeight="1" x14ac:dyDescent="0.25">
      <c r="A355" s="5" t="str">
        <f>"Triasulfuron"</f>
        <v>Triasulfuron</v>
      </c>
      <c r="B355" s="1" t="s">
        <v>1138</v>
      </c>
      <c r="C355" s="1" t="s">
        <v>56</v>
      </c>
      <c r="D355" s="1" t="s">
        <v>54</v>
      </c>
      <c r="E355" s="1">
        <v>2</v>
      </c>
      <c r="F355" s="1" t="s">
        <v>55</v>
      </c>
      <c r="G355" s="1" t="s">
        <v>1139</v>
      </c>
      <c r="H355" s="6" t="s">
        <v>1140</v>
      </c>
    </row>
    <row r="356" spans="1:8" ht="106.15" customHeight="1" x14ac:dyDescent="0.25">
      <c r="A356" s="5" t="str">
        <f>"Triaziflam"</f>
        <v>Triaziflam</v>
      </c>
      <c r="B356" s="1" t="s">
        <v>1141</v>
      </c>
      <c r="C356" s="1" t="s">
        <v>295</v>
      </c>
      <c r="D356" s="1" t="s">
        <v>678</v>
      </c>
      <c r="E356" s="1">
        <v>29</v>
      </c>
      <c r="F356" s="1" t="s">
        <v>294</v>
      </c>
      <c r="G356" s="1" t="s">
        <v>1142</v>
      </c>
      <c r="H356" s="6" t="s">
        <v>1143</v>
      </c>
    </row>
    <row r="357" spans="1:8" ht="105" customHeight="1" x14ac:dyDescent="0.25">
      <c r="A357" s="5" t="str">
        <f>"Tribenuron-methyl"</f>
        <v>Tribenuron-methyl</v>
      </c>
      <c r="B357" s="1" t="s">
        <v>1144</v>
      </c>
      <c r="C357" s="1" t="s">
        <v>56</v>
      </c>
      <c r="D357" s="1" t="s">
        <v>54</v>
      </c>
      <c r="E357" s="1">
        <v>2</v>
      </c>
      <c r="F357" s="1" t="s">
        <v>55</v>
      </c>
      <c r="G357" s="1" t="s">
        <v>1145</v>
      </c>
      <c r="H357" s="6" t="s">
        <v>1146</v>
      </c>
    </row>
    <row r="358" spans="1:8" ht="71.25" customHeight="1" x14ac:dyDescent="0.25">
      <c r="A358" s="5" t="str">
        <f>"Triclopyr"</f>
        <v>Triclopyr</v>
      </c>
      <c r="B358" s="1" t="s">
        <v>1147</v>
      </c>
      <c r="C358" s="1" t="s">
        <v>6</v>
      </c>
      <c r="D358" s="1" t="s">
        <v>611</v>
      </c>
      <c r="E358" s="1">
        <v>4</v>
      </c>
      <c r="F358" s="1" t="s">
        <v>5</v>
      </c>
      <c r="G358" s="1" t="s">
        <v>1148</v>
      </c>
      <c r="H358" s="6" t="s">
        <v>1149</v>
      </c>
    </row>
    <row r="359" spans="1:8" ht="98.9" customHeight="1" x14ac:dyDescent="0.25">
      <c r="A359" s="5" t="str">
        <f>"Tridiphane"</f>
        <v>Tridiphane</v>
      </c>
      <c r="B359" s="1" t="s">
        <v>1150</v>
      </c>
      <c r="C359" s="1" t="s">
        <v>20</v>
      </c>
      <c r="D359" s="1" t="s">
        <v>674</v>
      </c>
      <c r="E359" s="1">
        <v>15</v>
      </c>
      <c r="F359" s="1" t="s">
        <v>19</v>
      </c>
      <c r="G359" s="1" t="s">
        <v>1151</v>
      </c>
      <c r="H359" s="6" t="s">
        <v>1152</v>
      </c>
    </row>
    <row r="360" spans="1:8" ht="91" customHeight="1" x14ac:dyDescent="0.25">
      <c r="A360" s="5" t="str">
        <f>"Trietazine"</f>
        <v>Trietazine</v>
      </c>
      <c r="B360" s="1" t="s">
        <v>1153</v>
      </c>
      <c r="C360" s="1" t="s">
        <v>82</v>
      </c>
      <c r="D360" s="1" t="s">
        <v>47</v>
      </c>
      <c r="E360" s="1">
        <v>5</v>
      </c>
      <c r="F360" s="1" t="s">
        <v>81</v>
      </c>
      <c r="G360" s="1" t="s">
        <v>1154</v>
      </c>
      <c r="H360" s="6" t="s">
        <v>948</v>
      </c>
    </row>
    <row r="361" spans="1:8" ht="105.65" customHeight="1" x14ac:dyDescent="0.25">
      <c r="A361" s="5" t="str">
        <f>"Trifloxysulfuron-Na"</f>
        <v>Trifloxysulfuron-Na</v>
      </c>
      <c r="B361" s="1" t="s">
        <v>1155</v>
      </c>
      <c r="C361" s="1" t="s">
        <v>56</v>
      </c>
      <c r="D361" s="1" t="s">
        <v>54</v>
      </c>
      <c r="E361" s="1">
        <v>2</v>
      </c>
      <c r="F361" s="1" t="s">
        <v>55</v>
      </c>
      <c r="G361" s="1" t="s">
        <v>1156</v>
      </c>
      <c r="H361" s="6" t="s">
        <v>1157</v>
      </c>
    </row>
    <row r="362" spans="1:8" ht="98.25" customHeight="1" x14ac:dyDescent="0.25">
      <c r="A362" s="5" t="str">
        <f>"Trifludimoxazin"</f>
        <v>Trifludimoxazin</v>
      </c>
      <c r="B362" s="1" t="s">
        <v>1158</v>
      </c>
      <c r="C362" s="1" t="s">
        <v>26</v>
      </c>
      <c r="D362" s="1" t="s">
        <v>198</v>
      </c>
      <c r="E362" s="1">
        <v>14</v>
      </c>
      <c r="F362" s="1" t="s">
        <v>25</v>
      </c>
      <c r="G362" s="1" t="s">
        <v>1159</v>
      </c>
      <c r="H362" s="6" t="s">
        <v>1160</v>
      </c>
    </row>
    <row r="363" spans="1:8" ht="106.15" customHeight="1" x14ac:dyDescent="0.25">
      <c r="A363" s="5" t="str">
        <f>"Trifluralin"</f>
        <v>Trifluralin</v>
      </c>
      <c r="B363" s="1" t="s">
        <v>1161</v>
      </c>
      <c r="C363" s="1" t="s">
        <v>1180</v>
      </c>
      <c r="D363" s="1" t="s">
        <v>113</v>
      </c>
      <c r="E363" s="1">
        <v>3</v>
      </c>
      <c r="F363" s="1" t="s">
        <v>114</v>
      </c>
      <c r="G363" s="1" t="s">
        <v>1162</v>
      </c>
      <c r="H363" s="6" t="s">
        <v>116</v>
      </c>
    </row>
    <row r="364" spans="1:8" ht="106.15" customHeight="1" x14ac:dyDescent="0.25">
      <c r="A364" s="5" t="str">
        <f>"Triflusulfuron-methyl"</f>
        <v>Triflusulfuron-methyl</v>
      </c>
      <c r="B364" s="1" t="s">
        <v>1163</v>
      </c>
      <c r="C364" s="1" t="s">
        <v>56</v>
      </c>
      <c r="D364" s="1" t="s">
        <v>54</v>
      </c>
      <c r="E364" s="1">
        <v>2</v>
      </c>
      <c r="F364" s="1" t="s">
        <v>55</v>
      </c>
      <c r="G364" s="1" t="s">
        <v>1164</v>
      </c>
      <c r="H364" s="6" t="s">
        <v>1165</v>
      </c>
    </row>
    <row r="365" spans="1:8" ht="105" customHeight="1" x14ac:dyDescent="0.25">
      <c r="A365" s="5" t="str">
        <f>"Tritosulfuron"</f>
        <v>Tritosulfuron</v>
      </c>
      <c r="B365" s="1" t="s">
        <v>1166</v>
      </c>
      <c r="C365" s="1" t="s">
        <v>56</v>
      </c>
      <c r="D365" s="1" t="s">
        <v>54</v>
      </c>
      <c r="E365" s="1">
        <v>2</v>
      </c>
      <c r="F365" s="1" t="s">
        <v>55</v>
      </c>
      <c r="G365" s="1" t="s">
        <v>1167</v>
      </c>
      <c r="H365" s="6" t="s">
        <v>1168</v>
      </c>
    </row>
    <row r="366" spans="1:8" ht="83.65" customHeight="1" thickBot="1" x14ac:dyDescent="0.3">
      <c r="A366" s="9" t="str">
        <f>"Vernolate"</f>
        <v>Vernolate</v>
      </c>
      <c r="B366" s="10" t="s">
        <v>1169</v>
      </c>
      <c r="C366" s="10" t="s">
        <v>20</v>
      </c>
      <c r="D366" s="10" t="s">
        <v>218</v>
      </c>
      <c r="E366" s="10">
        <v>15</v>
      </c>
      <c r="F366" s="10" t="s">
        <v>19</v>
      </c>
      <c r="G366" s="10" t="s">
        <v>1170</v>
      </c>
      <c r="H366" s="11" t="s">
        <v>874</v>
      </c>
    </row>
  </sheetData>
  <autoFilter ref="A1:H1" xr:uid="{AE804B63-25A3-4B52-872E-A23EA18C9162}"/>
  <pageMargins left="0.7" right="0.7" top="0.78740157499999996" bottom="0.78740157499999996" header="0.3" footer="0.3"/>
  <headerFooter>
    <oddFooter>&amp;R_x000D_&amp;1#&amp;"Aptos"&amp;22&amp;KFF8939 RESTRICTED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CFD94BC5E3BD42ADBF9C71E826074E" ma:contentTypeVersion="20" ma:contentTypeDescription="Create a new document." ma:contentTypeScope="" ma:versionID="5aff6bfa03c58449f5b312cb6037ebd6">
  <xsd:schema xmlns:xsd="http://www.w3.org/2001/XMLSchema" xmlns:xs="http://www.w3.org/2001/XMLSchema" xmlns:p="http://schemas.microsoft.com/office/2006/metadata/properties" xmlns:ns2="f972fe5a-257f-4470-a90e-7129ee6ab238" xmlns:ns3="f0c31265-7a50-45d5-98a9-ed313690c256" targetNamespace="http://schemas.microsoft.com/office/2006/metadata/properties" ma:root="true" ma:fieldsID="678bbd22c2d910c261404c9f1bca151f" ns2:_="" ns3:_="">
    <xsd:import namespace="f972fe5a-257f-4470-a90e-7129ee6ab238"/>
    <xsd:import namespace="f0c31265-7a50-45d5-98a9-ed313690c256"/>
    <xsd:element name="properties">
      <xsd:complexType>
        <xsd:sequence>
          <xsd:element name="documentManagement">
            <xsd:complexType>
              <xsd:all>
                <xsd:element ref="ns2:prv_Category_Choice" minOccurs="0"/>
                <xsd:element ref="ns3:prv_Description" minOccurs="0"/>
                <xsd:element ref="ns3:prv_Responsibl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2fe5a-257f-4470-a90e-7129ee6ab238" elementFormDefault="qualified">
    <xsd:import namespace="http://schemas.microsoft.com/office/2006/documentManagement/types"/>
    <xsd:import namespace="http://schemas.microsoft.com/office/infopath/2007/PartnerControls"/>
    <xsd:element name="prv_Category_Choice" ma:index="8" nillable="true" ma:displayName="Category" ma:internalName="prv_Category_Choice">
      <xsd:simpleType>
        <xsd:restriction base="dms:Choice">
          <xsd:enumeration value="Development"/>
          <xsd:enumeration value="Product"/>
          <xsd:enumeration value="Project"/>
        </xsd:restriction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dc710af-b83d-414b-92bb-c42983097fff}" ma:internalName="TaxCatchAll" ma:showField="CatchAllData" ma:web="f972fe5a-257f-4470-a90e-7129ee6ab2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31265-7a50-45d5-98a9-ed313690c256" elementFormDefault="qualified">
    <xsd:import namespace="http://schemas.microsoft.com/office/2006/documentManagement/types"/>
    <xsd:import namespace="http://schemas.microsoft.com/office/infopath/2007/PartnerControls"/>
    <xsd:element name="prv_Description" ma:index="9" nillable="true" ma:displayName="Description" ma:internalName="prv_Description" ma:readOnly="false">
      <xsd:simpleType>
        <xsd:restriction base="dms:Note">
          <xsd:maxLength value="255"/>
        </xsd:restriction>
      </xsd:simpleType>
    </xsd:element>
    <xsd:element name="prv_Responsible" ma:index="10" nillable="true" ma:displayName="Responsible" ma:internalName="prv_Responsible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4f2cd92-8d93-4e4c-83d3-86703d9155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v_Category_Choice xmlns="f972fe5a-257f-4470-a90e-7129ee6ab238" xsi:nil="true"/>
    <TaxCatchAll xmlns="f972fe5a-257f-4470-a90e-7129ee6ab238" xsi:nil="true"/>
    <prv_Responsible xmlns="f0c31265-7a50-45d5-98a9-ed313690c256">
      <UserInfo>
        <DisplayName/>
        <AccountId xsi:nil="true"/>
        <AccountType/>
      </UserInfo>
    </prv_Responsible>
    <lcf76f155ced4ddcb4097134ff3c332f xmlns="f0c31265-7a50-45d5-98a9-ed313690c256">
      <Terms xmlns="http://schemas.microsoft.com/office/infopath/2007/PartnerControls"/>
    </lcf76f155ced4ddcb4097134ff3c332f>
    <prv_Description xmlns="f0c31265-7a50-45d5-98a9-ed313690c256" xsi:nil="true"/>
  </documentManagement>
</p:properties>
</file>

<file path=customXml/itemProps1.xml><?xml version="1.0" encoding="utf-8"?>
<ds:datastoreItem xmlns:ds="http://schemas.openxmlformats.org/officeDocument/2006/customXml" ds:itemID="{9C5E11C0-D584-48F8-BC19-B43EBF45D5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DDEDC1-79B5-4896-A31B-CE9523B34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2fe5a-257f-4470-a90e-7129ee6ab238"/>
    <ds:schemaRef ds:uri="f0c31265-7a50-45d5-98a9-ed313690c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1113B0-7A6D-48E3-9CF6-A8267D5E0DCC}">
  <ds:schemaRefs>
    <ds:schemaRef ds:uri="http://schemas.microsoft.com/office/2006/metadata/properties"/>
    <ds:schemaRef ds:uri="http://schemas.microsoft.com/office/infopath/2007/PartnerControls"/>
    <ds:schemaRef ds:uri="f972fe5a-257f-4470-a90e-7129ee6ab238"/>
    <ds:schemaRef ds:uri="f0c31265-7a50-45d5-98a9-ed313690c256"/>
  </ds:schemaRefs>
</ds:datastoreItem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HRAC_12-2025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michael.betz@basf.com</dc:creator>
  <cp:lastModifiedBy>Dr. Bianca Assis Barbosa Martins</cp:lastModifiedBy>
  <dcterms:created xsi:type="dcterms:W3CDTF">2025-06-27T12:06:32Z</dcterms:created>
  <dcterms:modified xsi:type="dcterms:W3CDTF">2026-01-16T13:53:28Z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0x010100A0CFD94BC5E3BD42ADBF9C71E826074E</vt:lpwstr>
  </property>
  <property fmtid="{D5CDD505-2E9C-101B-9397-08002B2CF9AE}" pid="3" name="MSIP_Label_2c76c141-ac86-40e5-abf2-c6f60e474cee_Enabled">
    <vt:lpwstr>true</vt:lpwstr>
  </property>
  <property fmtid="{D5CDD505-2E9C-101B-9397-08002B2CF9AE}" pid="4" name="MSIP_Label_2c76c141-ac86-40e5-abf2-c6f60e474cee_SetDate">
    <vt:lpwstr>2025-12-04T08:42:33Z</vt:lpwstr>
  </property>
  <property fmtid="{D5CDD505-2E9C-101B-9397-08002B2CF9AE}" pid="5" name="MSIP_Label_2c76c141-ac86-40e5-abf2-c6f60e474cee_Method">
    <vt:lpwstr>Standard</vt:lpwstr>
  </property>
  <property fmtid="{D5CDD505-2E9C-101B-9397-08002B2CF9AE}" pid="6" name="MSIP_Label_2c76c141-ac86-40e5-abf2-c6f60e474cee_Name">
    <vt:lpwstr>2c76c141-ac86-40e5-abf2-c6f60e474cee</vt:lpwstr>
  </property>
  <property fmtid="{D5CDD505-2E9C-101B-9397-08002B2CF9AE}" pid="7" name="MSIP_Label_2c76c141-ac86-40e5-abf2-c6f60e474cee_SiteId">
    <vt:lpwstr>fcb2b37b-5da0-466b-9b83-0014b67a7c78</vt:lpwstr>
  </property>
  <property fmtid="{D5CDD505-2E9C-101B-9397-08002B2CF9AE}" pid="8" name="MSIP_Label_2c76c141-ac86-40e5-abf2-c6f60e474cee_ActionId">
    <vt:lpwstr>18b3d713-6ae1-4e52-b069-8d9bb54e6f48</vt:lpwstr>
  </property>
  <property fmtid="{D5CDD505-2E9C-101B-9397-08002B2CF9AE}" pid="9" name="MSIP_Label_2c76c141-ac86-40e5-abf2-c6f60e474cee_ContentBits">
    <vt:lpwstr>2</vt:lpwstr>
  </property>
  <property fmtid="{D5CDD505-2E9C-101B-9397-08002B2CF9AE}" pid="10" name="MSIP_Label_2c76c141-ac86-40e5-abf2-c6f60e474cee_Tag">
    <vt:lpwstr>10, 3, 0, 1</vt:lpwstr>
  </property>
</Properties>
</file>